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365" firstSheet="23" activeTab="37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Sales Schedule" sheetId="8" r:id="rId9"/>
    <sheet name="CS-FG" sheetId="7" r:id="rId10"/>
    <sheet name="Farm Implement Business" sheetId="22" state="hidden" r:id="rId11"/>
    <sheet name="Production Level Support" sheetId="21" state="hidden" r:id="rId12"/>
    <sheet name="Manpower Schedule" sheetId="9" r:id="rId13"/>
    <sheet name="Opex Schedule" sheetId="10" r:id="rId14"/>
    <sheet name="WC Req" sheetId="23" state="hidden" r:id="rId15"/>
    <sheet name="Ammortization" sheetId="37" r:id="rId16"/>
    <sheet name="WC Assessment" sheetId="11" r:id="rId17"/>
    <sheet name="P&amp;L" sheetId="12" r:id="rId18"/>
    <sheet name="Tax" sheetId="14" r:id="rId19"/>
    <sheet name="BS" sheetId="15" r:id="rId20"/>
    <sheet name="CF" sheetId="16" r:id="rId21"/>
    <sheet name="TL Schedule" sheetId="24" r:id="rId22"/>
    <sheet name="Interest" sheetId="13" r:id="rId23"/>
    <sheet name="NPV" sheetId="30" r:id="rId24"/>
    <sheet name="IRR" sheetId="29" r:id="rId25"/>
    <sheet name="ROCE and Payback" sheetId="34" r:id="rId26"/>
    <sheet name="Debt Equity" sheetId="33" r:id="rId27"/>
    <sheet name="Break Even" sheetId="32" state="hidden" r:id="rId28"/>
    <sheet name="DSCR" sheetId="31" state="hidden" r:id="rId29"/>
    <sheet name="BEP &amp; DSCR" sheetId="17" r:id="rId30"/>
    <sheet name="Sheet19" sheetId="19" state="hidden" r:id="rId31"/>
    <sheet name="Sheet6" sheetId="25" state="hidden" r:id="rId32"/>
    <sheet name="Benefit-FPO-Producer" sheetId="26" state="hidden" r:id="rId33"/>
    <sheet name="Sheet2" sheetId="27" state="hidden" r:id="rId34"/>
    <sheet name="Economic Analysis" sheetId="28" state="hidden" r:id="rId35"/>
    <sheet name="Sheet9" sheetId="35" state="hidden" r:id="rId36"/>
    <sheet name="sensitivity" sheetId="36" r:id="rId37"/>
    <sheet name="Member Data" sheetId="38" r:id="rId38"/>
  </sheets>
  <externalReferences>
    <externalReference r:id="rId39"/>
    <externalReference r:id="rId40"/>
  </externalReferences>
  <definedNames>
    <definedName name="_xlnm.Print_Area" localSheetId="0">'Capital Cost'!$A$1:$C$33</definedName>
    <definedName name="_xlnm.Print_Area" localSheetId="24">IRR!$A$1:$K$28</definedName>
    <definedName name="_xlnm.Print_Area" localSheetId="13">'Opex Schedule'!$A$1:$L$42</definedName>
    <definedName name="_xlnm.Print_Area" localSheetId="5">'Output Schedule'!$A$1:$K$37</definedName>
    <definedName name="_xlnm.Print_Area" localSheetId="25">'ROCE and Payback'!$A$1:$K$19</definedName>
  </definedNames>
  <calcPr calcId="152511"/>
</workbook>
</file>

<file path=xl/calcChain.xml><?xml version="1.0" encoding="utf-8"?>
<calcChain xmlns="http://schemas.openxmlformats.org/spreadsheetml/2006/main">
  <c r="S5" i="38" l="1"/>
  <c r="Q11" i="38"/>
  <c r="Q10" i="38"/>
  <c r="Q9" i="38"/>
  <c r="Q8" i="38"/>
  <c r="Q6" i="38"/>
  <c r="Q5" i="38"/>
  <c r="E10" i="2" l="1"/>
  <c r="E11" i="2"/>
  <c r="E7" i="2"/>
  <c r="E8" i="2"/>
  <c r="E6" i="2"/>
  <c r="C13" i="20"/>
  <c r="C28" i="20" s="1"/>
  <c r="B3" i="37" s="1"/>
  <c r="B10" i="2" l="1"/>
  <c r="C4" i="38"/>
  <c r="C5" i="38" s="1"/>
  <c r="B11" i="38"/>
  <c r="B10" i="38"/>
  <c r="C8" i="10"/>
  <c r="D8" i="10" s="1"/>
  <c r="E8" i="10" s="1"/>
  <c r="F8" i="10" s="1"/>
  <c r="G8" i="10" s="1"/>
  <c r="H8" i="10" s="1"/>
  <c r="I8" i="10" s="1"/>
  <c r="J8" i="10" s="1"/>
  <c r="K8" i="10" s="1"/>
  <c r="L8" i="10" s="1"/>
  <c r="C7" i="10"/>
  <c r="C11" i="38" l="1"/>
  <c r="C10" i="38"/>
  <c r="D4" i="38"/>
  <c r="C13" i="38"/>
  <c r="C15" i="38" s="1"/>
  <c r="C16" i="38" s="1"/>
  <c r="B13" i="38"/>
  <c r="B15" i="38" s="1"/>
  <c r="B16" i="38" s="1"/>
  <c r="C15" i="10"/>
  <c r="C14" i="10"/>
  <c r="A41" i="36"/>
  <c r="A29" i="36"/>
  <c r="A17" i="36"/>
  <c r="D54" i="18"/>
  <c r="C54" i="18"/>
  <c r="C51" i="7"/>
  <c r="D15" i="8"/>
  <c r="C15" i="8"/>
  <c r="E31" i="7"/>
  <c r="F31" i="7" s="1"/>
  <c r="G31" i="7" s="1"/>
  <c r="H31" i="7" s="1"/>
  <c r="I31" i="7" s="1"/>
  <c r="J31" i="7" s="1"/>
  <c r="K31" i="7" s="1"/>
  <c r="L31" i="7" s="1"/>
  <c r="E30" i="7"/>
  <c r="F30" i="7" s="1"/>
  <c r="G30" i="7" s="1"/>
  <c r="H30" i="7" s="1"/>
  <c r="I30" i="7" s="1"/>
  <c r="J30" i="7" s="1"/>
  <c r="K30" i="7" s="1"/>
  <c r="L30" i="7" s="1"/>
  <c r="D32" i="7"/>
  <c r="E32" i="7" s="1"/>
  <c r="E15" i="8" s="1"/>
  <c r="D31" i="7"/>
  <c r="D30" i="7"/>
  <c r="D29" i="7"/>
  <c r="E29" i="7" s="1"/>
  <c r="F29" i="7" s="1"/>
  <c r="G29" i="7" s="1"/>
  <c r="H29" i="7" s="1"/>
  <c r="I29" i="7" s="1"/>
  <c r="J29" i="7" s="1"/>
  <c r="K29" i="7" s="1"/>
  <c r="L29" i="7" s="1"/>
  <c r="C23" i="7"/>
  <c r="C21" i="18"/>
  <c r="C20" i="18"/>
  <c r="C19" i="18"/>
  <c r="C18" i="18"/>
  <c r="B21" i="18"/>
  <c r="B20" i="18"/>
  <c r="B19" i="18"/>
  <c r="B18" i="18"/>
  <c r="N29" i="4"/>
  <c r="A30" i="4"/>
  <c r="B22" i="7" s="1"/>
  <c r="A29" i="4"/>
  <c r="B16" i="7" s="1"/>
  <c r="A28" i="4"/>
  <c r="B10" i="7" s="1"/>
  <c r="A27" i="4"/>
  <c r="F32" i="7" l="1"/>
  <c r="E54" i="18"/>
  <c r="E4" i="38"/>
  <c r="D5" i="38"/>
  <c r="E5" i="38" s="1"/>
  <c r="D10" i="38"/>
  <c r="B32" i="7"/>
  <c r="B54" i="18" s="1"/>
  <c r="B46" i="7"/>
  <c r="B14" i="8"/>
  <c r="E11" i="38" l="1"/>
  <c r="F4" i="38"/>
  <c r="E10" i="38"/>
  <c r="D11" i="38"/>
  <c r="G32" i="7"/>
  <c r="F54" i="18"/>
  <c r="F15" i="8"/>
  <c r="D13" i="38"/>
  <c r="D15" i="38" s="1"/>
  <c r="D16" i="38" s="1"/>
  <c r="A4" i="36"/>
  <c r="A16" i="36" s="1"/>
  <c r="A28" i="36" s="1"/>
  <c r="A40" i="36" s="1"/>
  <c r="A3" i="36"/>
  <c r="A15" i="36" s="1"/>
  <c r="A27" i="36" s="1"/>
  <c r="A39" i="36" s="1"/>
  <c r="G4" i="38" l="1"/>
  <c r="F10" i="38"/>
  <c r="H32" i="7"/>
  <c r="G15" i="8"/>
  <c r="G54" i="18"/>
  <c r="F5" i="38"/>
  <c r="E13" i="38"/>
  <c r="E15" i="38" s="1"/>
  <c r="E16" i="38" s="1"/>
  <c r="C11" i="5"/>
  <c r="D11" i="5" s="1"/>
  <c r="E11" i="5" s="1"/>
  <c r="F11" i="5" s="1"/>
  <c r="G11" i="5" s="1"/>
  <c r="H11" i="5" s="1"/>
  <c r="I11" i="5" s="1"/>
  <c r="J11" i="5" s="1"/>
  <c r="K11" i="5" s="1"/>
  <c r="K8" i="4"/>
  <c r="I32" i="7" l="1"/>
  <c r="H54" i="18"/>
  <c r="H15" i="8"/>
  <c r="G5" i="38"/>
  <c r="F11" i="38"/>
  <c r="H4" i="38"/>
  <c r="G10" i="38"/>
  <c r="F13" i="38"/>
  <c r="F15" i="38" s="1"/>
  <c r="F16" i="38" s="1"/>
  <c r="B11" i="2"/>
  <c r="B8" i="2"/>
  <c r="H5" i="38" l="1"/>
  <c r="G11" i="38"/>
  <c r="I4" i="38"/>
  <c r="H10" i="38"/>
  <c r="J32" i="7"/>
  <c r="I54" i="18"/>
  <c r="I15" i="8"/>
  <c r="G13" i="38"/>
  <c r="G15" i="38" s="1"/>
  <c r="G16" i="38" s="1"/>
  <c r="C29" i="20"/>
  <c r="J4" i="38" l="1"/>
  <c r="I10" i="38"/>
  <c r="K32" i="7"/>
  <c r="J54" i="18"/>
  <c r="J15" i="8"/>
  <c r="I5" i="38"/>
  <c r="H11" i="38"/>
  <c r="H13" i="38"/>
  <c r="H15" i="38" s="1"/>
  <c r="H16" i="38" s="1"/>
  <c r="N28" i="4"/>
  <c r="N30" i="4"/>
  <c r="N27" i="4"/>
  <c r="L32" i="7" l="1"/>
  <c r="K15" i="8"/>
  <c r="K54" i="18"/>
  <c r="J5" i="38"/>
  <c r="I11" i="38"/>
  <c r="K4" i="38"/>
  <c r="K10" i="38" s="1"/>
  <c r="J10" i="38"/>
  <c r="I13" i="38"/>
  <c r="I15" i="38" s="1"/>
  <c r="I16" i="38" s="1"/>
  <c r="N32" i="4"/>
  <c r="J52" i="17"/>
  <c r="I56" i="17"/>
  <c r="J56" i="17"/>
  <c r="K56" i="17"/>
  <c r="K24" i="16"/>
  <c r="L24" i="16"/>
  <c r="M24" i="16"/>
  <c r="L25" i="16"/>
  <c r="M26" i="16"/>
  <c r="J20" i="15"/>
  <c r="K20" i="15"/>
  <c r="M25" i="16" s="1"/>
  <c r="L20" i="15"/>
  <c r="I30" i="12"/>
  <c r="K26" i="16" s="1"/>
  <c r="J30" i="12"/>
  <c r="J37" i="17" s="1"/>
  <c r="K30" i="12"/>
  <c r="K52" i="17" s="1"/>
  <c r="B27" i="12"/>
  <c r="C5" i="37" s="1"/>
  <c r="I32" i="4"/>
  <c r="J32" i="4"/>
  <c r="K32" i="4"/>
  <c r="I5" i="4"/>
  <c r="J5" i="4"/>
  <c r="K5" i="4"/>
  <c r="H10" i="31"/>
  <c r="B13" i="30"/>
  <c r="C13" i="30" s="1"/>
  <c r="D13" i="30" s="1"/>
  <c r="E13" i="30" s="1"/>
  <c r="F13" i="30" s="1"/>
  <c r="G13" i="30" s="1"/>
  <c r="H13" i="30" s="1"/>
  <c r="I13" i="30" s="1"/>
  <c r="J13" i="30" s="1"/>
  <c r="K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C27" i="12" l="1"/>
  <c r="D5" i="37" s="1"/>
  <c r="K7" i="4"/>
  <c r="K6" i="4"/>
  <c r="I37" i="17"/>
  <c r="K5" i="38"/>
  <c r="K11" i="38" s="1"/>
  <c r="K13" i="38" s="1"/>
  <c r="K15" i="38" s="1"/>
  <c r="K16" i="38" s="1"/>
  <c r="J11" i="38"/>
  <c r="J6" i="4"/>
  <c r="J7" i="4"/>
  <c r="D27" i="12"/>
  <c r="L26" i="16"/>
  <c r="I52" i="17"/>
  <c r="I7" i="4"/>
  <c r="I6" i="4"/>
  <c r="K37" i="17"/>
  <c r="L54" i="18"/>
  <c r="L15" i="8"/>
  <c r="J13" i="38"/>
  <c r="J15" i="38" s="1"/>
  <c r="J16" i="38" s="1"/>
  <c r="K22" i="29"/>
  <c r="K12" i="29"/>
  <c r="E27" i="12" l="1"/>
  <c r="E5" i="37"/>
  <c r="F27" i="12" l="1"/>
  <c r="F5" i="37"/>
  <c r="B12" i="5"/>
  <c r="B4" i="6" s="1"/>
  <c r="G27" i="12" l="1"/>
  <c r="G5" i="37"/>
  <c r="B17" i="28"/>
  <c r="C17" i="28" s="1"/>
  <c r="D17" i="28" s="1"/>
  <c r="E17" i="28" s="1"/>
  <c r="F17" i="28" s="1"/>
  <c r="G17" i="28" s="1"/>
  <c r="H17" i="28" s="1"/>
  <c r="B5" i="28"/>
  <c r="H27" i="12" l="1"/>
  <c r="H5" i="37"/>
  <c r="B4" i="7"/>
  <c r="B29" i="7" s="1"/>
  <c r="C46" i="18"/>
  <c r="C45" i="18"/>
  <c r="I27" i="12" l="1"/>
  <c r="I5" i="37"/>
  <c r="C12" i="5"/>
  <c r="J27" i="12" l="1"/>
  <c r="J5" i="37"/>
  <c r="I8" i="14"/>
  <c r="I53" i="17"/>
  <c r="I8" i="29"/>
  <c r="I40" i="17"/>
  <c r="I9" i="30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K27" i="12" l="1"/>
  <c r="K5" i="37"/>
  <c r="J9" i="30"/>
  <c r="J8" i="14"/>
  <c r="J53" i="17"/>
  <c r="J8" i="29"/>
  <c r="J40" i="17"/>
  <c r="B6" i="31"/>
  <c r="B9" i="30"/>
  <c r="B8" i="29"/>
  <c r="J26" i="16"/>
  <c r="H7" i="31"/>
  <c r="H9" i="31" s="1"/>
  <c r="C32" i="15"/>
  <c r="E12" i="5"/>
  <c r="B7" i="17"/>
  <c r="B40" i="17"/>
  <c r="B53" i="17"/>
  <c r="L5" i="37" l="1"/>
  <c r="K40" i="17"/>
  <c r="K9" i="30"/>
  <c r="K53" i="17"/>
  <c r="K8" i="14"/>
  <c r="K8" i="29"/>
  <c r="F12" i="5"/>
  <c r="G12" i="5" l="1"/>
  <c r="H6" i="22"/>
  <c r="G6" i="22"/>
  <c r="H5" i="22"/>
  <c r="G5" i="22"/>
  <c r="G9" i="22"/>
  <c r="G8" i="22"/>
  <c r="G7" i="22"/>
  <c r="H8" i="22"/>
  <c r="B7" i="12" l="1"/>
  <c r="H9" i="22"/>
  <c r="H7" i="22"/>
  <c r="I4" i="22"/>
  <c r="H12" i="5" l="1"/>
  <c r="E15" i="18"/>
  <c r="I5" i="22"/>
  <c r="I6" i="22"/>
  <c r="C7" i="12"/>
  <c r="I9" i="22"/>
  <c r="I8" i="22"/>
  <c r="J4" i="22"/>
  <c r="I7" i="22"/>
  <c r="I12" i="5" l="1"/>
  <c r="F15" i="18"/>
  <c r="J5" i="22"/>
  <c r="J6" i="22"/>
  <c r="D7" i="12"/>
  <c r="J9" i="22"/>
  <c r="J8" i="22"/>
  <c r="K4" i="22"/>
  <c r="J7" i="22"/>
  <c r="I4" i="6" l="1"/>
  <c r="K12" i="5"/>
  <c r="J12" i="5"/>
  <c r="G15" i="18"/>
  <c r="K5" i="22"/>
  <c r="K6" i="22"/>
  <c r="E7" i="12"/>
  <c r="K7" i="22"/>
  <c r="K9" i="22"/>
  <c r="K8" i="22"/>
  <c r="L4" i="22"/>
  <c r="J4" i="6" l="1"/>
  <c r="K4" i="6"/>
  <c r="J34" i="18"/>
  <c r="H15" i="18"/>
  <c r="L6" i="22"/>
  <c r="L5" i="22"/>
  <c r="F7" i="12"/>
  <c r="L8" i="22"/>
  <c r="M4" i="22"/>
  <c r="L7" i="22"/>
  <c r="L9" i="22"/>
  <c r="L34" i="18" l="1"/>
  <c r="K34" i="18"/>
  <c r="I15" i="18"/>
  <c r="M5" i="22"/>
  <c r="M6" i="22"/>
  <c r="G7" i="12"/>
  <c r="M9" i="22"/>
  <c r="M8" i="22"/>
  <c r="M7" i="22"/>
  <c r="H7" i="12" l="1"/>
  <c r="C3" i="21" l="1"/>
  <c r="C37" i="18"/>
  <c r="B12" i="6"/>
  <c r="C26" i="10"/>
  <c r="B10" i="23"/>
  <c r="D37" i="18" l="1"/>
  <c r="C12" i="6"/>
  <c r="D26" i="10"/>
  <c r="C10" i="23"/>
  <c r="D3" i="21"/>
  <c r="C52" i="18"/>
  <c r="C53" i="18"/>
  <c r="C51" i="18"/>
  <c r="B51" i="18"/>
  <c r="C43" i="18"/>
  <c r="B25" i="18"/>
  <c r="B27" i="18"/>
  <c r="B24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C22" i="10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D11" i="10"/>
  <c r="E11" i="10" s="1"/>
  <c r="F11" i="10" s="1"/>
  <c r="G11" i="10" s="1"/>
  <c r="H11" i="10" s="1"/>
  <c r="I11" i="10" s="1"/>
  <c r="J11" i="10" s="1"/>
  <c r="K11" i="10" s="1"/>
  <c r="L11" i="10" s="1"/>
  <c r="D7" i="10"/>
  <c r="E7" i="10" s="1"/>
  <c r="F7" i="10" s="1"/>
  <c r="G7" i="10" s="1"/>
  <c r="H7" i="10" s="1"/>
  <c r="I7" i="10" s="1"/>
  <c r="J7" i="10" s="1"/>
  <c r="K7" i="10" s="1"/>
  <c r="L7" i="10" s="1"/>
  <c r="C6" i="10"/>
  <c r="D6" i="10" s="1"/>
  <c r="Q5" i="10"/>
  <c r="C25" i="10" s="1"/>
  <c r="Q4" i="10"/>
  <c r="D25" i="10" s="1"/>
  <c r="E25" i="10" s="1"/>
  <c r="F25" i="10" s="1"/>
  <c r="G25" i="10" s="1"/>
  <c r="H25" i="10" s="1"/>
  <c r="I25" i="10" s="1"/>
  <c r="J25" i="10" s="1"/>
  <c r="K25" i="10" s="1"/>
  <c r="L25" i="10" s="1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B6" i="2" l="1"/>
  <c r="E37" i="18"/>
  <c r="E26" i="10"/>
  <c r="D12" i="6"/>
  <c r="D10" i="23"/>
  <c r="E3" i="21"/>
  <c r="E6" i="10"/>
  <c r="D22" i="10"/>
  <c r="N7" i="10"/>
  <c r="N13" i="10" l="1"/>
  <c r="O16" i="10"/>
  <c r="C15" i="16"/>
  <c r="C32" i="16" s="1"/>
  <c r="F37" i="18"/>
  <c r="E12" i="6"/>
  <c r="F26" i="10"/>
  <c r="E10" i="23"/>
  <c r="F3" i="21"/>
  <c r="C5" i="3"/>
  <c r="E22" i="10"/>
  <c r="F6" i="10"/>
  <c r="C23" i="10" l="1"/>
  <c r="G3" i="21"/>
  <c r="G37" i="18"/>
  <c r="G26" i="10"/>
  <c r="F12" i="6"/>
  <c r="F10" i="23"/>
  <c r="B28" i="15"/>
  <c r="B30" i="15" s="1"/>
  <c r="C10" i="3"/>
  <c r="G6" i="10"/>
  <c r="F22" i="10"/>
  <c r="H3" i="21" l="1"/>
  <c r="H37" i="18"/>
  <c r="H26" i="10"/>
  <c r="G12" i="6"/>
  <c r="G10" i="23"/>
  <c r="H6" i="10"/>
  <c r="G22" i="10"/>
  <c r="I37" i="18" l="1"/>
  <c r="H12" i="6"/>
  <c r="I26" i="10"/>
  <c r="H10" i="23"/>
  <c r="H22" i="10"/>
  <c r="I6" i="10"/>
  <c r="J6" i="10" s="1"/>
  <c r="K6" i="10" s="1"/>
  <c r="L6" i="10" s="1"/>
  <c r="I22" i="10" l="1"/>
  <c r="J22" i="10" s="1"/>
  <c r="K22" i="10" s="1"/>
  <c r="L22" i="10" s="1"/>
  <c r="E18" i="9" l="1"/>
  <c r="G17" i="9"/>
  <c r="G16" i="9"/>
  <c r="G13" i="9"/>
  <c r="G12" i="9"/>
  <c r="G11" i="9"/>
  <c r="G9" i="9"/>
  <c r="G8" i="9"/>
  <c r="G7" i="9"/>
  <c r="G6" i="9"/>
  <c r="G5" i="9"/>
  <c r="G4" i="9"/>
  <c r="G3" i="9"/>
  <c r="C11" i="8"/>
  <c r="B10" i="8"/>
  <c r="C7" i="8"/>
  <c r="C3" i="8"/>
  <c r="B11" i="12"/>
  <c r="B42" i="7"/>
  <c r="B31" i="7"/>
  <c r="B53" i="18" s="1"/>
  <c r="C17" i="7"/>
  <c r="C11" i="7"/>
  <c r="B38" i="7"/>
  <c r="C5" i="7"/>
  <c r="B34" i="7"/>
  <c r="C34" i="18"/>
  <c r="C24" i="10" l="1"/>
  <c r="C27" i="10" s="1"/>
  <c r="G18" i="9"/>
  <c r="C13" i="10"/>
  <c r="D51" i="18"/>
  <c r="D53" i="18"/>
  <c r="B6" i="8"/>
  <c r="B2" i="8"/>
  <c r="D52" i="18"/>
  <c r="D7" i="8"/>
  <c r="D11" i="8"/>
  <c r="D3" i="8"/>
  <c r="B30" i="7"/>
  <c r="B52" i="18" s="1"/>
  <c r="D13" i="10" l="1"/>
  <c r="C17" i="10"/>
  <c r="C18" i="10" s="1"/>
  <c r="D24" i="10"/>
  <c r="E51" i="18"/>
  <c r="E3" i="8"/>
  <c r="E53" i="18"/>
  <c r="E11" i="8"/>
  <c r="E52" i="18"/>
  <c r="E7" i="8"/>
  <c r="E24" i="10" l="1"/>
  <c r="E13" i="10"/>
  <c r="D17" i="10"/>
  <c r="D18" i="10" s="1"/>
  <c r="F51" i="18"/>
  <c r="F3" i="8"/>
  <c r="F11" i="8"/>
  <c r="F53" i="18"/>
  <c r="G52" i="18"/>
  <c r="G7" i="8"/>
  <c r="F52" i="18"/>
  <c r="F7" i="8"/>
  <c r="F24" i="10" l="1"/>
  <c r="E17" i="10"/>
  <c r="E18" i="10" s="1"/>
  <c r="F13" i="10"/>
  <c r="G51" i="18"/>
  <c r="G3" i="8"/>
  <c r="G11" i="8"/>
  <c r="G53" i="18"/>
  <c r="H52" i="18"/>
  <c r="H7" i="8"/>
  <c r="J7" i="8" l="1"/>
  <c r="J52" i="18"/>
  <c r="G24" i="10"/>
  <c r="F17" i="10"/>
  <c r="F18" i="10" s="1"/>
  <c r="G13" i="10"/>
  <c r="H51" i="18"/>
  <c r="H3" i="8"/>
  <c r="H11" i="8"/>
  <c r="H53" i="18"/>
  <c r="I52" i="18"/>
  <c r="I7" i="8"/>
  <c r="D8" i="1"/>
  <c r="C4" i="6"/>
  <c r="D34" i="18" s="1"/>
  <c r="J53" i="18" l="1"/>
  <c r="J11" i="8"/>
  <c r="K7" i="8"/>
  <c r="K52" i="18"/>
  <c r="J51" i="18"/>
  <c r="J3" i="8"/>
  <c r="H24" i="10"/>
  <c r="H13" i="10"/>
  <c r="G17" i="10"/>
  <c r="G18" i="10" s="1"/>
  <c r="D14" i="18"/>
  <c r="I3" i="8"/>
  <c r="I51" i="18"/>
  <c r="I11" i="8"/>
  <c r="I53" i="18"/>
  <c r="E13" i="18"/>
  <c r="D4" i="6"/>
  <c r="E34" i="18" s="1"/>
  <c r="K53" i="18" l="1"/>
  <c r="K11" i="8"/>
  <c r="L52" i="18"/>
  <c r="L7" i="8"/>
  <c r="K3" i="8"/>
  <c r="K51" i="18"/>
  <c r="I24" i="10"/>
  <c r="H17" i="10"/>
  <c r="H18" i="10" s="1"/>
  <c r="I13" i="10"/>
  <c r="J13" i="10" s="1"/>
  <c r="F13" i="18"/>
  <c r="E4" i="6"/>
  <c r="F34" i="18" s="1"/>
  <c r="L53" i="18" l="1"/>
  <c r="L11" i="8"/>
  <c r="L3" i="8"/>
  <c r="L51" i="18"/>
  <c r="K13" i="10"/>
  <c r="J17" i="10"/>
  <c r="J18" i="10"/>
  <c r="J24" i="10"/>
  <c r="I17" i="10"/>
  <c r="I18" i="10" s="1"/>
  <c r="E14" i="18"/>
  <c r="G13" i="18"/>
  <c r="F4" i="6"/>
  <c r="G34" i="18" s="1"/>
  <c r="K24" i="10" l="1"/>
  <c r="K17" i="10"/>
  <c r="K18" i="10" s="1"/>
  <c r="L13" i="10"/>
  <c r="F14" i="18"/>
  <c r="C11" i="23"/>
  <c r="H13" i="18"/>
  <c r="G4" i="6"/>
  <c r="H34" i="18" s="1"/>
  <c r="L17" i="10" l="1"/>
  <c r="L18" i="10" s="1"/>
  <c r="L24" i="10"/>
  <c r="G14" i="18"/>
  <c r="H4" i="6"/>
  <c r="I34" i="18" s="1"/>
  <c r="J13" i="18" l="1"/>
  <c r="I12" i="4"/>
  <c r="H14" i="18"/>
  <c r="I13" i="18"/>
  <c r="I21" i="4" l="1"/>
  <c r="J14" i="18"/>
  <c r="I17" i="4"/>
  <c r="I18" i="38" s="1"/>
  <c r="I22" i="4"/>
  <c r="I23" i="4"/>
  <c r="I34" i="4"/>
  <c r="I20" i="4"/>
  <c r="K13" i="18"/>
  <c r="J12" i="4"/>
  <c r="I14" i="18"/>
  <c r="C32" i="4"/>
  <c r="D32" i="4"/>
  <c r="E32" i="4"/>
  <c r="F32" i="4"/>
  <c r="G32" i="4"/>
  <c r="H32" i="4"/>
  <c r="B32" i="4"/>
  <c r="C5" i="4"/>
  <c r="D5" i="4"/>
  <c r="E5" i="4"/>
  <c r="F5" i="4"/>
  <c r="G5" i="4"/>
  <c r="H5" i="4"/>
  <c r="B5" i="4"/>
  <c r="C13" i="4"/>
  <c r="D43" i="18" s="1"/>
  <c r="D7" i="4" l="1"/>
  <c r="D6" i="4"/>
  <c r="F6" i="4"/>
  <c r="F7" i="4"/>
  <c r="J21" i="4"/>
  <c r="H7" i="4"/>
  <c r="H6" i="4"/>
  <c r="H12" i="4" s="1"/>
  <c r="H18" i="38" s="1"/>
  <c r="I29" i="4"/>
  <c r="J37" i="10"/>
  <c r="G7" i="4"/>
  <c r="G6" i="4"/>
  <c r="C7" i="4"/>
  <c r="C6" i="4"/>
  <c r="B7" i="4"/>
  <c r="B6" i="4"/>
  <c r="E7" i="4"/>
  <c r="E6" i="4"/>
  <c r="J24" i="18"/>
  <c r="I27" i="4"/>
  <c r="J6" i="7" s="1"/>
  <c r="J8" i="7" s="1"/>
  <c r="I35" i="4"/>
  <c r="J25" i="18" s="1"/>
  <c r="I30" i="4"/>
  <c r="I7" i="5"/>
  <c r="I28" i="4"/>
  <c r="J12" i="7" s="1"/>
  <c r="J14" i="7" s="1"/>
  <c r="J34" i="4"/>
  <c r="J20" i="4"/>
  <c r="J23" i="4"/>
  <c r="J22" i="4"/>
  <c r="E17" i="4"/>
  <c r="D17" i="4"/>
  <c r="L13" i="18"/>
  <c r="K12" i="4"/>
  <c r="K9" i="4"/>
  <c r="K14" i="18"/>
  <c r="J17" i="4"/>
  <c r="D11" i="23"/>
  <c r="F24" i="16"/>
  <c r="D13" i="4"/>
  <c r="E43" i="18" s="1"/>
  <c r="F12" i="4"/>
  <c r="F17" i="4"/>
  <c r="C12" i="4"/>
  <c r="C17" i="4"/>
  <c r="D12" i="4"/>
  <c r="G12" i="4"/>
  <c r="G18" i="38" s="1"/>
  <c r="G17" i="4"/>
  <c r="H17" i="4"/>
  <c r="B12" i="4"/>
  <c r="B18" i="38" s="1"/>
  <c r="B17" i="4"/>
  <c r="E12" i="4"/>
  <c r="D23" i="4"/>
  <c r="C23" i="4"/>
  <c r="F29" i="4" l="1"/>
  <c r="G37" i="10"/>
  <c r="K21" i="4"/>
  <c r="H29" i="4"/>
  <c r="I37" i="10"/>
  <c r="D21" i="4"/>
  <c r="D18" i="38"/>
  <c r="F21" i="4"/>
  <c r="F18" i="38"/>
  <c r="J29" i="4"/>
  <c r="K37" i="10"/>
  <c r="E21" i="4"/>
  <c r="E18" i="38"/>
  <c r="C29" i="4"/>
  <c r="D37" i="10"/>
  <c r="D29" i="4"/>
  <c r="E37" i="10"/>
  <c r="J18" i="38"/>
  <c r="B29" i="4"/>
  <c r="C18" i="7" s="1"/>
  <c r="C37" i="10"/>
  <c r="G29" i="4"/>
  <c r="H37" i="10"/>
  <c r="C21" i="4"/>
  <c r="C18" i="38"/>
  <c r="E29" i="4"/>
  <c r="F37" i="10"/>
  <c r="G4" i="28"/>
  <c r="G6" i="28" s="1"/>
  <c r="G7" i="28" s="1"/>
  <c r="G8" i="28" s="1"/>
  <c r="G21" i="4"/>
  <c r="H4" i="28"/>
  <c r="H6" i="28" s="1"/>
  <c r="H7" i="28" s="1"/>
  <c r="H8" i="28" s="1"/>
  <c r="H21" i="4"/>
  <c r="J18" i="7"/>
  <c r="J20" i="7" s="1"/>
  <c r="J44" i="7" s="1"/>
  <c r="K43" i="7" s="1"/>
  <c r="J24" i="7"/>
  <c r="J26" i="7" s="1"/>
  <c r="I37" i="4"/>
  <c r="J27" i="18" s="1"/>
  <c r="B21" i="4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24" i="18"/>
  <c r="I8" i="5"/>
  <c r="J32" i="10"/>
  <c r="J38" i="10"/>
  <c r="J40" i="10"/>
  <c r="L14" i="18"/>
  <c r="K17" i="4"/>
  <c r="K22" i="4"/>
  <c r="K20" i="4"/>
  <c r="K34" i="4"/>
  <c r="K23" i="4"/>
  <c r="J27" i="4"/>
  <c r="K6" i="7" s="1"/>
  <c r="K8" i="7" s="1"/>
  <c r="J28" i="4"/>
  <c r="K12" i="7" s="1"/>
  <c r="K14" i="7" s="1"/>
  <c r="J30" i="4"/>
  <c r="J35" i="4"/>
  <c r="K25" i="18" s="1"/>
  <c r="J7" i="5"/>
  <c r="J40" i="7"/>
  <c r="K39" i="7" s="1"/>
  <c r="K11" i="7"/>
  <c r="K5" i="7"/>
  <c r="J36" i="7"/>
  <c r="B4" i="28"/>
  <c r="B6" i="28" s="1"/>
  <c r="B7" i="28" s="1"/>
  <c r="B8" i="28" s="1"/>
  <c r="C14" i="4"/>
  <c r="C6" i="12" s="1"/>
  <c r="E35" i="4"/>
  <c r="F25" i="18" s="1"/>
  <c r="E27" i="4"/>
  <c r="F6" i="7" s="1"/>
  <c r="F8" i="7" s="1"/>
  <c r="E7" i="5"/>
  <c r="E8" i="5" s="1"/>
  <c r="E30" i="4"/>
  <c r="E28" i="4"/>
  <c r="F12" i="7" s="1"/>
  <c r="F14" i="7" s="1"/>
  <c r="H35" i="4"/>
  <c r="I25" i="18" s="1"/>
  <c r="H27" i="4"/>
  <c r="I6" i="7" s="1"/>
  <c r="I8" i="7" s="1"/>
  <c r="H7" i="5"/>
  <c r="H30" i="4"/>
  <c r="H28" i="4"/>
  <c r="I12" i="7" s="1"/>
  <c r="I14" i="7" s="1"/>
  <c r="J11" i="7" s="1"/>
  <c r="J13" i="7" s="1"/>
  <c r="J6" i="8" s="1"/>
  <c r="J8" i="8" s="1"/>
  <c r="D28" i="4"/>
  <c r="E12" i="7" s="1"/>
  <c r="E14" i="7" s="1"/>
  <c r="D30" i="4"/>
  <c r="D35" i="4"/>
  <c r="E25" i="18" s="1"/>
  <c r="D7" i="5"/>
  <c r="D8" i="5" s="1"/>
  <c r="D27" i="4"/>
  <c r="E6" i="7" s="1"/>
  <c r="E8" i="7" s="1"/>
  <c r="F7" i="5"/>
  <c r="F8" i="5" s="1"/>
  <c r="F27" i="4"/>
  <c r="G6" i="7" s="1"/>
  <c r="G8" i="7" s="1"/>
  <c r="F30" i="4"/>
  <c r="F35" i="4"/>
  <c r="G25" i="18" s="1"/>
  <c r="F28" i="4"/>
  <c r="G12" i="7" s="1"/>
  <c r="G14" i="7" s="1"/>
  <c r="E23" i="4"/>
  <c r="E4" i="28"/>
  <c r="E6" i="28" s="1"/>
  <c r="E7" i="28" s="1"/>
  <c r="E8" i="28" s="1"/>
  <c r="E24" i="4"/>
  <c r="B27" i="4"/>
  <c r="C6" i="7" s="1"/>
  <c r="C8" i="7" s="1"/>
  <c r="B35" i="4"/>
  <c r="C25" i="18" s="1"/>
  <c r="B7" i="5"/>
  <c r="B28" i="4"/>
  <c r="C12" i="7" s="1"/>
  <c r="C14" i="7" s="1"/>
  <c r="B30" i="4"/>
  <c r="C24" i="7" s="1"/>
  <c r="G27" i="4"/>
  <c r="H6" i="7" s="1"/>
  <c r="H8" i="7" s="1"/>
  <c r="G35" i="4"/>
  <c r="H25" i="18" s="1"/>
  <c r="G7" i="5"/>
  <c r="G8" i="5" s="1"/>
  <c r="G28" i="4"/>
  <c r="H12" i="7" s="1"/>
  <c r="H14" i="7" s="1"/>
  <c r="G30" i="4"/>
  <c r="C30" i="4"/>
  <c r="C27" i="4"/>
  <c r="D6" i="7" s="1"/>
  <c r="D8" i="7" s="1"/>
  <c r="C35" i="4"/>
  <c r="D25" i="18" s="1"/>
  <c r="C7" i="5"/>
  <c r="C8" i="5" s="1"/>
  <c r="C28" i="4"/>
  <c r="D12" i="7" s="1"/>
  <c r="D14" i="7" s="1"/>
  <c r="F11" i="23"/>
  <c r="H24" i="16"/>
  <c r="E11" i="23"/>
  <c r="G24" i="16"/>
  <c r="E22" i="4"/>
  <c r="H22" i="4"/>
  <c r="D34" i="4"/>
  <c r="D22" i="4"/>
  <c r="F22" i="4"/>
  <c r="B22" i="4"/>
  <c r="G22" i="4"/>
  <c r="C24" i="4"/>
  <c r="C22" i="4"/>
  <c r="E13" i="4"/>
  <c r="F43" i="18" s="1"/>
  <c r="C34" i="4"/>
  <c r="E20" i="4"/>
  <c r="E34" i="4"/>
  <c r="D20" i="4"/>
  <c r="D14" i="4"/>
  <c r="D6" i="12" s="1"/>
  <c r="C20" i="4"/>
  <c r="B34" i="4"/>
  <c r="B23" i="4"/>
  <c r="B20" i="4"/>
  <c r="B14" i="4"/>
  <c r="B6" i="12" s="1"/>
  <c r="D24" i="4"/>
  <c r="F34" i="4"/>
  <c r="F23" i="4"/>
  <c r="F24" i="4"/>
  <c r="F20" i="4"/>
  <c r="C4" i="36" l="1"/>
  <c r="C40" i="36"/>
  <c r="C28" i="36"/>
  <c r="C16" i="36"/>
  <c r="K29" i="4"/>
  <c r="L37" i="10"/>
  <c r="K17" i="7"/>
  <c r="K19" i="7" s="1"/>
  <c r="K10" i="8" s="1"/>
  <c r="K12" i="8" s="1"/>
  <c r="D4" i="36"/>
  <c r="D28" i="36"/>
  <c r="D16" i="36"/>
  <c r="D40" i="36"/>
  <c r="K18" i="38"/>
  <c r="B28" i="36"/>
  <c r="B16" i="36"/>
  <c r="B40" i="36"/>
  <c r="B4" i="36"/>
  <c r="J31" i="10"/>
  <c r="D18" i="7"/>
  <c r="D20" i="7" s="1"/>
  <c r="E17" i="7" s="1"/>
  <c r="E19" i="7" s="1"/>
  <c r="E10" i="8" s="1"/>
  <c r="E12" i="8" s="1"/>
  <c r="D24" i="7"/>
  <c r="D26" i="7" s="1"/>
  <c r="F18" i="7"/>
  <c r="F20" i="7" s="1"/>
  <c r="F24" i="7"/>
  <c r="F26" i="7" s="1"/>
  <c r="H18" i="7"/>
  <c r="H20" i="7" s="1"/>
  <c r="I17" i="7" s="1"/>
  <c r="I19" i="7" s="1"/>
  <c r="I10" i="8" s="1"/>
  <c r="I12" i="8" s="1"/>
  <c r="H24" i="7"/>
  <c r="H26" i="7" s="1"/>
  <c r="E18" i="7"/>
  <c r="E20" i="7" s="1"/>
  <c r="E24" i="7"/>
  <c r="E26" i="7" s="1"/>
  <c r="I18" i="7"/>
  <c r="I20" i="7" s="1"/>
  <c r="I44" i="7" s="1"/>
  <c r="J43" i="7" s="1"/>
  <c r="I24" i="7"/>
  <c r="I26" i="7" s="1"/>
  <c r="K18" i="7"/>
  <c r="K20" i="7" s="1"/>
  <c r="K24" i="7"/>
  <c r="K26" i="7" s="1"/>
  <c r="K23" i="7"/>
  <c r="J48" i="7"/>
  <c r="K47" i="7" s="1"/>
  <c r="G18" i="7"/>
  <c r="G20" i="7" s="1"/>
  <c r="G24" i="7"/>
  <c r="G26" i="7" s="1"/>
  <c r="C26" i="7"/>
  <c r="C25" i="7" s="1"/>
  <c r="C14" i="8" s="1"/>
  <c r="C16" i="8" s="1"/>
  <c r="K13" i="7"/>
  <c r="K6" i="8" s="1"/>
  <c r="K8" i="8" s="1"/>
  <c r="K35" i="7"/>
  <c r="L17" i="7"/>
  <c r="K44" i="7"/>
  <c r="L43" i="7" s="1"/>
  <c r="L24" i="18"/>
  <c r="K35" i="4"/>
  <c r="L25" i="18" s="1"/>
  <c r="K7" i="5"/>
  <c r="K27" i="4"/>
  <c r="L6" i="7" s="1"/>
  <c r="K28" i="4"/>
  <c r="L12" i="7" s="1"/>
  <c r="L14" i="7" s="1"/>
  <c r="L40" i="7" s="1"/>
  <c r="K30" i="4"/>
  <c r="J37" i="4"/>
  <c r="K7" i="7"/>
  <c r="K2" i="8" s="1"/>
  <c r="J8" i="5"/>
  <c r="L11" i="7"/>
  <c r="K40" i="7"/>
  <c r="L39" i="7" s="1"/>
  <c r="L5" i="7"/>
  <c r="K36" i="7"/>
  <c r="J5" i="5"/>
  <c r="I16" i="5"/>
  <c r="H8" i="5"/>
  <c r="I5" i="5" s="1"/>
  <c r="I6" i="5" s="1"/>
  <c r="I3" i="6" s="1"/>
  <c r="I6" i="6" s="1"/>
  <c r="I16" i="12" s="1"/>
  <c r="K23" i="16" s="1"/>
  <c r="B8" i="5"/>
  <c r="I36" i="7"/>
  <c r="J5" i="7"/>
  <c r="J7" i="7" s="1"/>
  <c r="J2" i="8" s="1"/>
  <c r="I40" i="7"/>
  <c r="F17" i="7"/>
  <c r="F19" i="7" s="1"/>
  <c r="F10" i="8" s="1"/>
  <c r="F12" i="8" s="1"/>
  <c r="E44" i="7"/>
  <c r="F43" i="7" s="1"/>
  <c r="G5" i="7"/>
  <c r="G7" i="7" s="1"/>
  <c r="G2" i="8" s="1"/>
  <c r="F36" i="7"/>
  <c r="E5" i="7"/>
  <c r="E7" i="7" s="1"/>
  <c r="E2" i="8" s="1"/>
  <c r="D36" i="7"/>
  <c r="H17" i="7"/>
  <c r="H19" i="7" s="1"/>
  <c r="H10" i="8" s="1"/>
  <c r="H12" i="8" s="1"/>
  <c r="G44" i="7"/>
  <c r="H43" i="7" s="1"/>
  <c r="F5" i="7"/>
  <c r="F7" i="7" s="1"/>
  <c r="F2" i="8" s="1"/>
  <c r="E36" i="7"/>
  <c r="F11" i="7"/>
  <c r="F13" i="7" s="1"/>
  <c r="F6" i="8" s="1"/>
  <c r="F8" i="8" s="1"/>
  <c r="E40" i="7"/>
  <c r="F39" i="7" s="1"/>
  <c r="F40" i="7"/>
  <c r="G39" i="7" s="1"/>
  <c r="G11" i="7"/>
  <c r="G13" i="7" s="1"/>
  <c r="G6" i="8" s="1"/>
  <c r="G8" i="8" s="1"/>
  <c r="D44" i="7"/>
  <c r="E43" i="7" s="1"/>
  <c r="H5" i="7"/>
  <c r="H7" i="7" s="1"/>
  <c r="H2" i="8" s="1"/>
  <c r="G36" i="7"/>
  <c r="G17" i="7"/>
  <c r="G19" i="7" s="1"/>
  <c r="G10" i="8" s="1"/>
  <c r="G12" i="8" s="1"/>
  <c r="F44" i="7"/>
  <c r="G43" i="7" s="1"/>
  <c r="H11" i="7"/>
  <c r="G40" i="7"/>
  <c r="H39" i="7" s="1"/>
  <c r="H13" i="7"/>
  <c r="H6" i="8" s="1"/>
  <c r="H8" i="8" s="1"/>
  <c r="E24" i="18"/>
  <c r="D37" i="4"/>
  <c r="G24" i="18"/>
  <c r="F37" i="4"/>
  <c r="D24" i="18"/>
  <c r="C37" i="4"/>
  <c r="I5" i="7"/>
  <c r="I7" i="7" s="1"/>
  <c r="I2" i="8" s="1"/>
  <c r="H36" i="7"/>
  <c r="I11" i="7"/>
  <c r="I13" i="7" s="1"/>
  <c r="I6" i="8" s="1"/>
  <c r="I8" i="8" s="1"/>
  <c r="H40" i="7"/>
  <c r="I39" i="7" s="1"/>
  <c r="B37" i="4"/>
  <c r="C24" i="18"/>
  <c r="F24" i="18"/>
  <c r="E37" i="4"/>
  <c r="F13" i="4"/>
  <c r="G43" i="18" s="1"/>
  <c r="E14" i="4"/>
  <c r="E6" i="12" s="1"/>
  <c r="B16" i="5"/>
  <c r="H24" i="4"/>
  <c r="H20" i="4"/>
  <c r="H34" i="4"/>
  <c r="H23" i="4"/>
  <c r="G24" i="4"/>
  <c r="G20" i="4"/>
  <c r="G34" i="4"/>
  <c r="G23" i="4"/>
  <c r="E4" i="36" l="1"/>
  <c r="E40" i="36"/>
  <c r="E16" i="36"/>
  <c r="E28" i="36"/>
  <c r="H44" i="7"/>
  <c r="I43" i="7" s="1"/>
  <c r="J3" i="6"/>
  <c r="J6" i="6" s="1"/>
  <c r="J16" i="12" s="1"/>
  <c r="J17" i="7"/>
  <c r="J19" i="7" s="1"/>
  <c r="J10" i="8" s="1"/>
  <c r="J12" i="8" s="1"/>
  <c r="B6" i="5"/>
  <c r="B3" i="6" s="1"/>
  <c r="J6" i="5"/>
  <c r="L18" i="7"/>
  <c r="L20" i="7" s="1"/>
  <c r="L44" i="7" s="1"/>
  <c r="L24" i="7"/>
  <c r="L26" i="7" s="1"/>
  <c r="L48" i="7" s="1"/>
  <c r="H23" i="7"/>
  <c r="H25" i="7" s="1"/>
  <c r="H14" i="8" s="1"/>
  <c r="H16" i="8" s="1"/>
  <c r="G48" i="7"/>
  <c r="H47" i="7" s="1"/>
  <c r="L23" i="7"/>
  <c r="K48" i="7"/>
  <c r="L47" i="7" s="1"/>
  <c r="F23" i="7"/>
  <c r="F25" i="7" s="1"/>
  <c r="F14" i="8" s="1"/>
  <c r="F16" i="8" s="1"/>
  <c r="E48" i="7"/>
  <c r="F47" i="7" s="1"/>
  <c r="G23" i="7"/>
  <c r="G25" i="7" s="1"/>
  <c r="G14" i="8" s="1"/>
  <c r="G16" i="8" s="1"/>
  <c r="F48" i="7"/>
  <c r="G47" i="7" s="1"/>
  <c r="E52" i="7"/>
  <c r="J23" i="7"/>
  <c r="J25" i="7" s="1"/>
  <c r="J14" i="8" s="1"/>
  <c r="J16" i="8" s="1"/>
  <c r="I48" i="7"/>
  <c r="J47" i="7" s="1"/>
  <c r="I23" i="7"/>
  <c r="I25" i="7" s="1"/>
  <c r="I14" i="8" s="1"/>
  <c r="I16" i="8" s="1"/>
  <c r="H48" i="7"/>
  <c r="I47" i="7" s="1"/>
  <c r="E23" i="7"/>
  <c r="E25" i="7" s="1"/>
  <c r="E14" i="8" s="1"/>
  <c r="E16" i="8" s="1"/>
  <c r="D48" i="7"/>
  <c r="E47" i="7" s="1"/>
  <c r="J52" i="7"/>
  <c r="I12" i="12" s="1"/>
  <c r="K25" i="7"/>
  <c r="K14" i="8" s="1"/>
  <c r="K16" i="8" s="1"/>
  <c r="D23" i="7"/>
  <c r="D25" i="7" s="1"/>
  <c r="D14" i="8" s="1"/>
  <c r="D16" i="8" s="1"/>
  <c r="C48" i="7"/>
  <c r="D47" i="7" s="1"/>
  <c r="J35" i="7"/>
  <c r="K51" i="7"/>
  <c r="J11" i="12" s="1"/>
  <c r="H16" i="5"/>
  <c r="I15" i="5" s="1"/>
  <c r="I18" i="12" s="1"/>
  <c r="L13" i="7"/>
  <c r="L6" i="8" s="1"/>
  <c r="L8" i="8" s="1"/>
  <c r="L8" i="7"/>
  <c r="L7" i="7" s="1"/>
  <c r="L2" i="8" s="1"/>
  <c r="L4" i="8" s="1"/>
  <c r="K37" i="4"/>
  <c r="L32" i="10" s="1"/>
  <c r="K40" i="10"/>
  <c r="K32" i="10"/>
  <c r="K31" i="10"/>
  <c r="K38" i="10"/>
  <c r="K27" i="18"/>
  <c r="L35" i="7"/>
  <c r="J41" i="15"/>
  <c r="I19" i="12"/>
  <c r="I21" i="12" s="1"/>
  <c r="J15" i="5"/>
  <c r="J18" i="12" s="1"/>
  <c r="K5" i="5"/>
  <c r="J16" i="5"/>
  <c r="K8" i="5"/>
  <c r="K16" i="5" s="1"/>
  <c r="K39" i="10"/>
  <c r="K4" i="8"/>
  <c r="C5" i="5"/>
  <c r="C6" i="5" s="1"/>
  <c r="C3" i="6" s="1"/>
  <c r="C8" i="6" s="1"/>
  <c r="J4" i="8"/>
  <c r="J39" i="7"/>
  <c r="C16" i="5"/>
  <c r="D5" i="5"/>
  <c r="D6" i="5" s="1"/>
  <c r="D3" i="6" s="1"/>
  <c r="D8" i="6" s="1"/>
  <c r="G35" i="7"/>
  <c r="E6" i="6"/>
  <c r="H35" i="7"/>
  <c r="F35" i="7"/>
  <c r="G39" i="10"/>
  <c r="G4" i="8"/>
  <c r="G5" i="5"/>
  <c r="G6" i="5" s="1"/>
  <c r="G3" i="6" s="1"/>
  <c r="G8" i="6" s="1"/>
  <c r="F16" i="5"/>
  <c r="D16" i="5"/>
  <c r="E5" i="5"/>
  <c r="E6" i="5" s="1"/>
  <c r="E3" i="6" s="1"/>
  <c r="E8" i="6" s="1"/>
  <c r="F5" i="5"/>
  <c r="F6" i="5" s="1"/>
  <c r="F3" i="6" s="1"/>
  <c r="F8" i="6" s="1"/>
  <c r="E16" i="5"/>
  <c r="F4" i="8"/>
  <c r="F39" i="10"/>
  <c r="E35" i="7"/>
  <c r="G6" i="6"/>
  <c r="E4" i="8"/>
  <c r="H5" i="5"/>
  <c r="H6" i="5" s="1"/>
  <c r="H3" i="6" s="1"/>
  <c r="G16" i="5"/>
  <c r="H11" i="23"/>
  <c r="J24" i="16"/>
  <c r="G11" i="23"/>
  <c r="I24" i="16"/>
  <c r="C40" i="10"/>
  <c r="C27" i="18"/>
  <c r="C38" i="10"/>
  <c r="C32" i="10"/>
  <c r="C31" i="10"/>
  <c r="H24" i="18"/>
  <c r="G37" i="4"/>
  <c r="I24" i="18"/>
  <c r="H37" i="4"/>
  <c r="I35" i="7"/>
  <c r="G38" i="10"/>
  <c r="G32" i="10"/>
  <c r="G40" i="10"/>
  <c r="G27" i="18"/>
  <c r="G31" i="10"/>
  <c r="C15" i="5"/>
  <c r="C18" i="12" s="1"/>
  <c r="B19" i="12"/>
  <c r="C41" i="15"/>
  <c r="F40" i="10"/>
  <c r="F27" i="18"/>
  <c r="F38" i="10"/>
  <c r="F32" i="10"/>
  <c r="F31" i="10"/>
  <c r="H4" i="8"/>
  <c r="H39" i="10"/>
  <c r="D38" i="10"/>
  <c r="D32" i="10"/>
  <c r="D27" i="18"/>
  <c r="D40" i="10"/>
  <c r="D31" i="10"/>
  <c r="E27" i="18"/>
  <c r="E40" i="10"/>
  <c r="E32" i="10"/>
  <c r="E38" i="10"/>
  <c r="E31" i="10"/>
  <c r="I4" i="8"/>
  <c r="I39" i="10"/>
  <c r="G13" i="4"/>
  <c r="H43" i="18" s="1"/>
  <c r="F14" i="4"/>
  <c r="F6" i="12" s="1"/>
  <c r="C13" i="7"/>
  <c r="C6" i="8" s="1"/>
  <c r="C8" i="8" s="1"/>
  <c r="C7" i="7"/>
  <c r="C2" i="8" s="1"/>
  <c r="C20" i="7"/>
  <c r="C19" i="7" s="1"/>
  <c r="C10" i="8" s="1"/>
  <c r="C12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B6" i="6" l="1"/>
  <c r="B8" i="6"/>
  <c r="I29" i="36"/>
  <c r="I32" i="36"/>
  <c r="I44" i="36"/>
  <c r="I20" i="36"/>
  <c r="I8" i="36"/>
  <c r="F6" i="6"/>
  <c r="F16" i="12" s="1"/>
  <c r="H19" i="12"/>
  <c r="D6" i="6"/>
  <c r="D6" i="23" s="1"/>
  <c r="C6" i="6"/>
  <c r="C6" i="23" s="1"/>
  <c r="J39" i="10"/>
  <c r="L19" i="7"/>
  <c r="L10" i="8" s="1"/>
  <c r="L12" i="8" s="1"/>
  <c r="F4" i="36"/>
  <c r="F16" i="36"/>
  <c r="F28" i="36"/>
  <c r="F40" i="36"/>
  <c r="L25" i="7"/>
  <c r="L14" i="8" s="1"/>
  <c r="L16" i="8" s="1"/>
  <c r="L18" i="8" s="1"/>
  <c r="K5" i="12" s="1"/>
  <c r="I41" i="15"/>
  <c r="K6" i="5"/>
  <c r="I52" i="7"/>
  <c r="H9" i="23" s="1"/>
  <c r="J51" i="7"/>
  <c r="J40" i="15"/>
  <c r="F52" i="7"/>
  <c r="F40" i="15" s="1"/>
  <c r="K52" i="7"/>
  <c r="J12" i="12" s="1"/>
  <c r="H52" i="7"/>
  <c r="G9" i="23" s="1"/>
  <c r="G52" i="7"/>
  <c r="I11" i="12"/>
  <c r="I5" i="36" s="1"/>
  <c r="J18" i="8"/>
  <c r="I5" i="12" s="1"/>
  <c r="G51" i="7"/>
  <c r="F11" i="12" s="1"/>
  <c r="G18" i="8"/>
  <c r="F5" i="12" s="1"/>
  <c r="H51" i="7"/>
  <c r="G11" i="12" s="1"/>
  <c r="K18" i="8"/>
  <c r="J5" i="12" s="1"/>
  <c r="L51" i="7"/>
  <c r="K11" i="12" s="1"/>
  <c r="I51" i="7"/>
  <c r="H11" i="12" s="1"/>
  <c r="F51" i="7"/>
  <c r="E11" i="12" s="1"/>
  <c r="I18" i="8"/>
  <c r="H5" i="12" s="1"/>
  <c r="H18" i="8"/>
  <c r="G5" i="12" s="1"/>
  <c r="F18" i="8"/>
  <c r="E5" i="12" s="1"/>
  <c r="B16" i="12"/>
  <c r="B21" i="12" s="1"/>
  <c r="I40" i="15"/>
  <c r="L40" i="10"/>
  <c r="L27" i="18"/>
  <c r="L38" i="10"/>
  <c r="L36" i="7"/>
  <c r="L31" i="10"/>
  <c r="H12" i="12"/>
  <c r="K19" i="12"/>
  <c r="L41" i="15"/>
  <c r="K41" i="15"/>
  <c r="J19" i="12"/>
  <c r="J21" i="12" s="1"/>
  <c r="K15" i="5"/>
  <c r="K18" i="12" s="1"/>
  <c r="J5" i="11"/>
  <c r="J43" i="15"/>
  <c r="K40" i="15"/>
  <c r="K3" i="6"/>
  <c r="K6" i="6" s="1"/>
  <c r="L23" i="16"/>
  <c r="B10" i="6"/>
  <c r="B14" i="6" s="1"/>
  <c r="B6" i="23"/>
  <c r="C10" i="6"/>
  <c r="C14" i="6" s="1"/>
  <c r="H41" i="15"/>
  <c r="G19" i="12"/>
  <c r="H15" i="5"/>
  <c r="H18" i="12" s="1"/>
  <c r="D16" i="12"/>
  <c r="F9" i="23"/>
  <c r="F12" i="12"/>
  <c r="G40" i="15"/>
  <c r="E9" i="23"/>
  <c r="E41" i="15"/>
  <c r="D19" i="12"/>
  <c r="E15" i="5"/>
  <c r="E18" i="12" s="1"/>
  <c r="D9" i="23"/>
  <c r="E40" i="15"/>
  <c r="E5" i="11" s="1"/>
  <c r="D12" i="12"/>
  <c r="G6" i="23"/>
  <c r="G16" i="12"/>
  <c r="F15" i="5"/>
  <c r="F18" i="12" s="1"/>
  <c r="F41" i="15"/>
  <c r="E19" i="12"/>
  <c r="G15" i="5"/>
  <c r="G18" i="12" s="1"/>
  <c r="F19" i="12"/>
  <c r="G41" i="15"/>
  <c r="H8" i="6"/>
  <c r="H6" i="6"/>
  <c r="E6" i="23"/>
  <c r="E16" i="12"/>
  <c r="E11" i="7"/>
  <c r="E13" i="7" s="1"/>
  <c r="E6" i="8" s="1"/>
  <c r="D40" i="7"/>
  <c r="D52" i="7" s="1"/>
  <c r="G10" i="6"/>
  <c r="G14" i="6" s="1"/>
  <c r="E10" i="6"/>
  <c r="E14" i="6" s="1"/>
  <c r="D15" i="5"/>
  <c r="D18" i="12" s="1"/>
  <c r="C19" i="12"/>
  <c r="D41" i="15"/>
  <c r="E24" i="16"/>
  <c r="B11" i="23"/>
  <c r="D24" i="16"/>
  <c r="I27" i="18"/>
  <c r="I38" i="10"/>
  <c r="I40" i="10"/>
  <c r="I32" i="10"/>
  <c r="I31" i="10"/>
  <c r="H38" i="10"/>
  <c r="H32" i="10"/>
  <c r="H27" i="18"/>
  <c r="H40" i="10"/>
  <c r="H31" i="10"/>
  <c r="C4" i="8"/>
  <c r="C39" i="10"/>
  <c r="H13" i="4"/>
  <c r="G14" i="4"/>
  <c r="G6" i="12" s="1"/>
  <c r="D17" i="7"/>
  <c r="D19" i="7" s="1"/>
  <c r="D10" i="8" s="1"/>
  <c r="D12" i="8" s="1"/>
  <c r="C44" i="7"/>
  <c r="D43" i="7" s="1"/>
  <c r="D11" i="7"/>
  <c r="D13" i="7" s="1"/>
  <c r="D6" i="8" s="1"/>
  <c r="D8" i="8" s="1"/>
  <c r="C40" i="7"/>
  <c r="D39" i="7" s="1"/>
  <c r="C36" i="7"/>
  <c r="D5" i="7"/>
  <c r="D7" i="7" s="1"/>
  <c r="D2" i="8" s="1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F6" i="23" l="1"/>
  <c r="C16" i="12"/>
  <c r="F10" i="6"/>
  <c r="F14" i="6" s="1"/>
  <c r="I5" i="11"/>
  <c r="K15" i="36"/>
  <c r="K3" i="36"/>
  <c r="K27" i="36"/>
  <c r="K39" i="36"/>
  <c r="J5" i="36"/>
  <c r="J41" i="36"/>
  <c r="J29" i="36"/>
  <c r="J17" i="36"/>
  <c r="H27" i="36"/>
  <c r="H39" i="36"/>
  <c r="H15" i="36"/>
  <c r="H3" i="36"/>
  <c r="I27" i="36"/>
  <c r="I15" i="36"/>
  <c r="I3" i="36"/>
  <c r="I39" i="36"/>
  <c r="D10" i="6"/>
  <c r="D14" i="6" s="1"/>
  <c r="J44" i="36"/>
  <c r="J20" i="36"/>
  <c r="J8" i="36"/>
  <c r="J32" i="36"/>
  <c r="H41" i="36"/>
  <c r="H17" i="36"/>
  <c r="H29" i="36"/>
  <c r="I17" i="36"/>
  <c r="E12" i="12"/>
  <c r="F41" i="36"/>
  <c r="F29" i="36"/>
  <c r="F17" i="36"/>
  <c r="L39" i="10"/>
  <c r="E27" i="36"/>
  <c r="E15" i="36"/>
  <c r="E39" i="36"/>
  <c r="E3" i="36"/>
  <c r="F39" i="36"/>
  <c r="F42" i="36" s="1"/>
  <c r="F15" i="36"/>
  <c r="F3" i="36"/>
  <c r="F27" i="36"/>
  <c r="F30" i="36" s="1"/>
  <c r="J39" i="36"/>
  <c r="J15" i="36"/>
  <c r="J3" i="36"/>
  <c r="J27" i="36"/>
  <c r="B44" i="36"/>
  <c r="B20" i="36"/>
  <c r="B8" i="36"/>
  <c r="B32" i="36"/>
  <c r="G28" i="36"/>
  <c r="G40" i="36"/>
  <c r="G16" i="36"/>
  <c r="G15" i="36"/>
  <c r="G3" i="36"/>
  <c r="G27" i="36"/>
  <c r="G39" i="36"/>
  <c r="I41" i="36"/>
  <c r="G12" i="12"/>
  <c r="H40" i="15"/>
  <c r="C52" i="7"/>
  <c r="E9" i="12"/>
  <c r="F9" i="12"/>
  <c r="F5" i="36"/>
  <c r="L52" i="7"/>
  <c r="K12" i="12" s="1"/>
  <c r="H5" i="36"/>
  <c r="G5" i="36"/>
  <c r="C18" i="8"/>
  <c r="B5" i="12" s="1"/>
  <c r="I43" i="15"/>
  <c r="D23" i="16"/>
  <c r="E5" i="36"/>
  <c r="G9" i="12"/>
  <c r="G4" i="36"/>
  <c r="I43" i="18"/>
  <c r="I13" i="4"/>
  <c r="K43" i="15"/>
  <c r="K5" i="11"/>
  <c r="K16" i="12"/>
  <c r="C21" i="12"/>
  <c r="E23" i="16"/>
  <c r="H5" i="11"/>
  <c r="G5" i="11"/>
  <c r="F5" i="11"/>
  <c r="H10" i="6"/>
  <c r="H14" i="6" s="1"/>
  <c r="G21" i="12"/>
  <c r="I23" i="16"/>
  <c r="F21" i="12"/>
  <c r="H23" i="16"/>
  <c r="F43" i="15"/>
  <c r="E21" i="12"/>
  <c r="G23" i="16"/>
  <c r="F23" i="16"/>
  <c r="D21" i="12"/>
  <c r="E39" i="7"/>
  <c r="E43" i="15"/>
  <c r="G43" i="15"/>
  <c r="E8" i="8"/>
  <c r="E39" i="10"/>
  <c r="H6" i="23"/>
  <c r="H16" i="12"/>
  <c r="H43" i="15"/>
  <c r="D4" i="8"/>
  <c r="D39" i="10"/>
  <c r="H14" i="4"/>
  <c r="H6" i="12" s="1"/>
  <c r="B9" i="23"/>
  <c r="D35" i="7"/>
  <c r="P16" i="3"/>
  <c r="P17" i="3" s="1"/>
  <c r="Q15" i="3" s="1"/>
  <c r="D6" i="3"/>
  <c r="C7" i="3"/>
  <c r="P6" i="3"/>
  <c r="P7" i="3" s="1"/>
  <c r="H28" i="36" l="1"/>
  <c r="H16" i="36"/>
  <c r="H40" i="36"/>
  <c r="G2" i="35"/>
  <c r="H36" i="15"/>
  <c r="B39" i="36"/>
  <c r="B27" i="36"/>
  <c r="B3" i="36"/>
  <c r="B15" i="36"/>
  <c r="F18" i="36"/>
  <c r="H18" i="36"/>
  <c r="D8" i="36"/>
  <c r="D20" i="36"/>
  <c r="D32" i="36"/>
  <c r="D44" i="36"/>
  <c r="G42" i="36"/>
  <c r="F44" i="36"/>
  <c r="F20" i="36"/>
  <c r="F8" i="36"/>
  <c r="F32" i="36"/>
  <c r="C32" i="36"/>
  <c r="C8" i="36"/>
  <c r="C20" i="36"/>
  <c r="C44" i="36"/>
  <c r="H5" i="16"/>
  <c r="G36" i="15"/>
  <c r="G29" i="36"/>
  <c r="G30" i="36" s="1"/>
  <c r="G17" i="36"/>
  <c r="G41" i="36"/>
  <c r="E30" i="36"/>
  <c r="H42" i="36"/>
  <c r="G32" i="36"/>
  <c r="G8" i="36"/>
  <c r="G20" i="36"/>
  <c r="G44" i="36"/>
  <c r="K5" i="36"/>
  <c r="K29" i="36"/>
  <c r="K17" i="36"/>
  <c r="K41" i="36"/>
  <c r="E32" i="36"/>
  <c r="E44" i="36"/>
  <c r="E20" i="36"/>
  <c r="E8" i="36"/>
  <c r="E2" i="35"/>
  <c r="F36" i="15"/>
  <c r="G18" i="36"/>
  <c r="E17" i="36"/>
  <c r="E18" i="36" s="1"/>
  <c r="E29" i="36"/>
  <c r="E41" i="36"/>
  <c r="E42" i="36" s="1"/>
  <c r="H30" i="36"/>
  <c r="E51" i="7"/>
  <c r="D11" i="12" s="1"/>
  <c r="E18" i="8"/>
  <c r="D5" i="12" s="1"/>
  <c r="G6" i="36"/>
  <c r="L40" i="15"/>
  <c r="L5" i="11" s="1"/>
  <c r="F4" i="11"/>
  <c r="B9" i="12"/>
  <c r="F2" i="35"/>
  <c r="G4" i="11"/>
  <c r="F6" i="36"/>
  <c r="E14" i="12"/>
  <c r="E3" i="35" s="1"/>
  <c r="E6" i="36"/>
  <c r="G5" i="16"/>
  <c r="D51" i="7"/>
  <c r="C11" i="12" s="1"/>
  <c r="D18" i="8"/>
  <c r="C5" i="12" s="1"/>
  <c r="F14" i="12"/>
  <c r="F3" i="35" s="1"/>
  <c r="I5" i="16"/>
  <c r="G14" i="12"/>
  <c r="G3" i="35" s="1"/>
  <c r="H4" i="11"/>
  <c r="H9" i="12"/>
  <c r="I36" i="15" s="1"/>
  <c r="J28" i="16" s="1"/>
  <c r="H4" i="36"/>
  <c r="H6" i="36" s="1"/>
  <c r="L43" i="15"/>
  <c r="M23" i="16"/>
  <c r="K21" i="12"/>
  <c r="J13" i="4"/>
  <c r="J43" i="18"/>
  <c r="I14" i="4"/>
  <c r="I6" i="12" s="1"/>
  <c r="J23" i="16"/>
  <c r="H21" i="12"/>
  <c r="C9" i="23"/>
  <c r="D40" i="15"/>
  <c r="D5" i="11" s="1"/>
  <c r="C12" i="12"/>
  <c r="C40" i="15"/>
  <c r="B12" i="12"/>
  <c r="Q16" i="3"/>
  <c r="Q17" i="3" s="1"/>
  <c r="R15" i="3" s="1"/>
  <c r="Q5" i="3"/>
  <c r="E6" i="3"/>
  <c r="D5" i="3"/>
  <c r="D5" i="36" l="1"/>
  <c r="D29" i="36"/>
  <c r="D41" i="36"/>
  <c r="D17" i="36"/>
  <c r="H28" i="16"/>
  <c r="I40" i="36"/>
  <c r="I42" i="36" s="1"/>
  <c r="I16" i="36"/>
  <c r="I18" i="36" s="1"/>
  <c r="I28" i="36"/>
  <c r="I30" i="36" s="1"/>
  <c r="D39" i="36"/>
  <c r="D27" i="36"/>
  <c r="D30" i="36" s="1"/>
  <c r="D3" i="36"/>
  <c r="D6" i="36" s="1"/>
  <c r="D15" i="36"/>
  <c r="B42" i="36"/>
  <c r="C15" i="36"/>
  <c r="C3" i="36"/>
  <c r="C27" i="36"/>
  <c r="C39" i="36"/>
  <c r="C42" i="36" s="1"/>
  <c r="C4" i="11"/>
  <c r="C36" i="15"/>
  <c r="D28" i="16" s="1"/>
  <c r="B41" i="36"/>
  <c r="B17" i="36"/>
  <c r="B18" i="36" s="1"/>
  <c r="B29" i="36"/>
  <c r="B30" i="36" s="1"/>
  <c r="C5" i="11"/>
  <c r="C43" i="15"/>
  <c r="H8" i="36"/>
  <c r="H44" i="36"/>
  <c r="H20" i="36"/>
  <c r="H32" i="36"/>
  <c r="C29" i="36"/>
  <c r="C17" i="36"/>
  <c r="C41" i="36"/>
  <c r="K8" i="36"/>
  <c r="K32" i="36"/>
  <c r="K44" i="36"/>
  <c r="K20" i="36"/>
  <c r="I28" i="16"/>
  <c r="D9" i="12"/>
  <c r="D5" i="16"/>
  <c r="B2" i="35"/>
  <c r="C9" i="12"/>
  <c r="D36" i="15" s="1"/>
  <c r="E28" i="16" s="1"/>
  <c r="H14" i="12"/>
  <c r="J5" i="16"/>
  <c r="I4" i="11"/>
  <c r="C5" i="36"/>
  <c r="B14" i="12"/>
  <c r="B3" i="35" s="1"/>
  <c r="B5" i="36"/>
  <c r="B6" i="36" s="1"/>
  <c r="I9" i="12"/>
  <c r="I4" i="36"/>
  <c r="I6" i="36" s="1"/>
  <c r="K13" i="4"/>
  <c r="K43" i="18"/>
  <c r="J14" i="4"/>
  <c r="J6" i="12" s="1"/>
  <c r="D43" i="15"/>
  <c r="F6" i="3"/>
  <c r="R16" i="3"/>
  <c r="R17" i="3" s="1"/>
  <c r="S15" i="3" s="1"/>
  <c r="D7" i="3"/>
  <c r="Q6" i="3"/>
  <c r="C18" i="36" l="1"/>
  <c r="C30" i="36"/>
  <c r="D42" i="36"/>
  <c r="J16" i="36"/>
  <c r="J18" i="36" s="1"/>
  <c r="J28" i="36"/>
  <c r="J30" i="36" s="1"/>
  <c r="J40" i="36"/>
  <c r="J42" i="36" s="1"/>
  <c r="K5" i="16"/>
  <c r="J36" i="15"/>
  <c r="K28" i="16" s="1"/>
  <c r="D2" i="35"/>
  <c r="E36" i="15"/>
  <c r="D18" i="36"/>
  <c r="D14" i="12"/>
  <c r="D3" i="35" s="1"/>
  <c r="F5" i="16"/>
  <c r="C6" i="36"/>
  <c r="D4" i="11"/>
  <c r="E5" i="16"/>
  <c r="C14" i="12"/>
  <c r="C3" i="35" s="1"/>
  <c r="C2" i="35"/>
  <c r="I14" i="12"/>
  <c r="J9" i="12"/>
  <c r="K36" i="15" s="1"/>
  <c r="L28" i="16" s="1"/>
  <c r="J4" i="36"/>
  <c r="J6" i="36" s="1"/>
  <c r="L43" i="18"/>
  <c r="K14" i="4"/>
  <c r="K6" i="12" s="1"/>
  <c r="S16" i="3"/>
  <c r="S17" i="3" s="1"/>
  <c r="T15" i="3" s="1"/>
  <c r="E5" i="3"/>
  <c r="G6" i="3"/>
  <c r="Q7" i="3"/>
  <c r="K40" i="36" l="1"/>
  <c r="K42" i="36" s="1"/>
  <c r="K4" i="36"/>
  <c r="K28" i="36"/>
  <c r="K30" i="36" s="1"/>
  <c r="K16" i="36"/>
  <c r="K18" i="36" s="1"/>
  <c r="J4" i="11"/>
  <c r="F28" i="16"/>
  <c r="E4" i="11"/>
  <c r="G28" i="16"/>
  <c r="L5" i="16"/>
  <c r="J14" i="12"/>
  <c r="K9" i="12"/>
  <c r="K6" i="36"/>
  <c r="K4" i="11"/>
  <c r="T16" i="3"/>
  <c r="T17" i="3" s="1"/>
  <c r="U15" i="3" s="1"/>
  <c r="R5" i="3"/>
  <c r="E7" i="3"/>
  <c r="H6" i="3"/>
  <c r="K14" i="12" l="1"/>
  <c r="L36" i="15"/>
  <c r="M28" i="16" s="1"/>
  <c r="L4" i="11"/>
  <c r="M5" i="16"/>
  <c r="R6" i="3"/>
  <c r="I6" i="3"/>
  <c r="J6" i="3" s="1"/>
  <c r="U16" i="3"/>
  <c r="U17" i="3" s="1"/>
  <c r="V15" i="3" s="1"/>
  <c r="F5" i="3"/>
  <c r="K6" i="3" l="1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L6" i="3"/>
  <c r="G5" i="3"/>
  <c r="S6" i="3"/>
  <c r="S7" i="3" s="1"/>
  <c r="T5" i="3" l="1"/>
  <c r="G7" i="3"/>
  <c r="T6" i="3" l="1"/>
  <c r="H5" i="3"/>
  <c r="H7" i="3" l="1"/>
  <c r="T7" i="3"/>
  <c r="I5" i="3" l="1"/>
  <c r="U5" i="3"/>
  <c r="U6" i="3" l="1"/>
  <c r="I7" i="3"/>
  <c r="J5" i="3" s="1"/>
  <c r="J7" i="3" l="1"/>
  <c r="U7" i="3"/>
  <c r="K5" i="3" l="1"/>
  <c r="V5" i="3"/>
  <c r="K7" i="3" l="1"/>
  <c r="V6" i="3"/>
  <c r="L5" i="3" l="1"/>
  <c r="V7" i="3"/>
  <c r="W5" i="3" s="1"/>
  <c r="W6" i="3" l="1"/>
  <c r="L7" i="3"/>
  <c r="E6" i="1"/>
  <c r="W7" i="3" l="1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s="1"/>
  <c r="X6" i="3" l="1"/>
  <c r="X7" i="3" s="1"/>
  <c r="B8" i="14"/>
  <c r="D23" i="10"/>
  <c r="D27" i="10" s="1"/>
  <c r="B23" i="12"/>
  <c r="D10" i="3"/>
  <c r="C21" i="3"/>
  <c r="C30" i="15" s="1"/>
  <c r="D11" i="3"/>
  <c r="C20" i="3"/>
  <c r="P19" i="3"/>
  <c r="P11" i="3"/>
  <c r="B21" i="36" l="1"/>
  <c r="B9" i="36"/>
  <c r="B33" i="36"/>
  <c r="B45" i="36"/>
  <c r="Y5" i="3"/>
  <c r="C6" i="31"/>
  <c r="C9" i="30"/>
  <c r="C8" i="29"/>
  <c r="B5" i="23"/>
  <c r="C53" i="17"/>
  <c r="C40" i="17"/>
  <c r="C7" i="17"/>
  <c r="B36" i="17"/>
  <c r="D32" i="15"/>
  <c r="C8" i="14"/>
  <c r="B32" i="12"/>
  <c r="C29" i="15"/>
  <c r="E23" i="10"/>
  <c r="E27" i="10" s="1"/>
  <c r="D21" i="16"/>
  <c r="D12" i="3"/>
  <c r="D19" i="3"/>
  <c r="D28" i="15" s="1"/>
  <c r="P12" i="3"/>
  <c r="P20" i="3"/>
  <c r="B7" i="14" s="1"/>
  <c r="E11" i="3"/>
  <c r="D20" i="3"/>
  <c r="Y6" i="3" l="1"/>
  <c r="Y7" i="3" s="1"/>
  <c r="D6" i="31"/>
  <c r="D9" i="30"/>
  <c r="D8" i="29"/>
  <c r="B7" i="29"/>
  <c r="B8" i="30"/>
  <c r="B5" i="31"/>
  <c r="C23" i="12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F11" i="3"/>
  <c r="E20" i="3"/>
  <c r="E10" i="3"/>
  <c r="D21" i="3"/>
  <c r="D30" i="15" s="1"/>
  <c r="Q10" i="3"/>
  <c r="P21" i="3"/>
  <c r="C9" i="36" l="1"/>
  <c r="C21" i="36"/>
  <c r="C45" i="36"/>
  <c r="C33" i="36"/>
  <c r="E21" i="16"/>
  <c r="E6" i="31"/>
  <c r="E9" i="30"/>
  <c r="E8" i="29"/>
  <c r="C8" i="30"/>
  <c r="C5" i="31"/>
  <c r="C7" i="29"/>
  <c r="C36" i="17"/>
  <c r="C5" i="23"/>
  <c r="D23" i="12"/>
  <c r="F32" i="15"/>
  <c r="E53" i="17"/>
  <c r="E40" i="17"/>
  <c r="E7" i="17"/>
  <c r="C39" i="17"/>
  <c r="C5" i="17"/>
  <c r="C51" i="17"/>
  <c r="E8" i="14"/>
  <c r="E29" i="15"/>
  <c r="D32" i="12"/>
  <c r="G23" i="10"/>
  <c r="G27" i="10" s="1"/>
  <c r="C6" i="14"/>
  <c r="Q11" i="3"/>
  <c r="Q20" i="3" s="1"/>
  <c r="C7" i="14" s="1"/>
  <c r="Q19" i="3"/>
  <c r="G11" i="3"/>
  <c r="F20" i="3"/>
  <c r="E12" i="3"/>
  <c r="E19" i="3"/>
  <c r="E28" i="15" s="1"/>
  <c r="D9" i="36" l="1"/>
  <c r="D45" i="36"/>
  <c r="D33" i="36"/>
  <c r="D21" i="36"/>
  <c r="D36" i="17"/>
  <c r="F6" i="31"/>
  <c r="F9" i="30"/>
  <c r="F8" i="29"/>
  <c r="D8" i="30"/>
  <c r="D5" i="31"/>
  <c r="D7" i="29"/>
  <c r="F21" i="16"/>
  <c r="D5" i="23"/>
  <c r="E23" i="12"/>
  <c r="G32" i="15"/>
  <c r="F53" i="17"/>
  <c r="F40" i="17"/>
  <c r="F7" i="17"/>
  <c r="D5" i="17"/>
  <c r="D51" i="17"/>
  <c r="D39" i="17"/>
  <c r="F8" i="14"/>
  <c r="H23" i="10"/>
  <c r="H27" i="10" s="1"/>
  <c r="E32" i="12"/>
  <c r="F29" i="15"/>
  <c r="D6" i="14"/>
  <c r="H11" i="3"/>
  <c r="G20" i="3"/>
  <c r="Q12" i="3"/>
  <c r="F10" i="3"/>
  <c r="E21" i="3"/>
  <c r="E30" i="15" s="1"/>
  <c r="E9" i="36" l="1"/>
  <c r="E45" i="36"/>
  <c r="E33" i="36"/>
  <c r="E21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F23" i="12"/>
  <c r="G23" i="12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9" i="36" l="1"/>
  <c r="F45" i="36"/>
  <c r="F33" i="36"/>
  <c r="F21" i="36"/>
  <c r="G9" i="36"/>
  <c r="G21" i="36"/>
  <c r="G45" i="36"/>
  <c r="G33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9" i="36" l="1"/>
  <c r="H45" i="36"/>
  <c r="H33" i="36"/>
  <c r="H21" i="36"/>
  <c r="H32" i="12"/>
  <c r="H7" i="29" s="1"/>
  <c r="K23" i="10"/>
  <c r="J27" i="10"/>
  <c r="I23" i="12" s="1"/>
  <c r="K11" i="3"/>
  <c r="J20" i="3"/>
  <c r="G5" i="31"/>
  <c r="G8" i="30"/>
  <c r="G7" i="29"/>
  <c r="H8" i="30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39" i="17" l="1"/>
  <c r="I9" i="36"/>
  <c r="I45" i="36"/>
  <c r="I33" i="36"/>
  <c r="I21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9" i="36" l="1"/>
  <c r="J45" i="36"/>
  <c r="J33" i="36"/>
  <c r="J21" i="36"/>
  <c r="K9" i="36"/>
  <c r="K21" i="36"/>
  <c r="K45" i="36"/>
  <c r="K33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35" i="10" l="1"/>
  <c r="C23" i="9"/>
  <c r="C30" i="10"/>
  <c r="C42" i="10" s="1"/>
  <c r="B25" i="12" s="1"/>
  <c r="C22" i="15" s="1"/>
  <c r="B34" i="36" l="1"/>
  <c r="B35" i="36" s="1"/>
  <c r="B36" i="36" s="1"/>
  <c r="B10" i="36"/>
  <c r="B11" i="36" s="1"/>
  <c r="B12" i="36" s="1"/>
  <c r="B46" i="36"/>
  <c r="B47" i="36" s="1"/>
  <c r="B48" i="36" s="1"/>
  <c r="B22" i="36"/>
  <c r="B23" i="36" s="1"/>
  <c r="B24" i="36" s="1"/>
  <c r="B4" i="35"/>
  <c r="B5" i="35" s="1"/>
  <c r="B4" i="23"/>
  <c r="B8" i="23" s="1"/>
  <c r="B12" i="23" s="1"/>
  <c r="B29" i="12"/>
  <c r="D22" i="16"/>
  <c r="D35" i="10"/>
  <c r="D30" i="10"/>
  <c r="D23" i="9"/>
  <c r="B14" i="23" l="1"/>
  <c r="B16" i="23" s="1"/>
  <c r="E35" i="10"/>
  <c r="E30" i="10"/>
  <c r="E23" i="9"/>
  <c r="D10" i="16"/>
  <c r="C6" i="11"/>
  <c r="D42" i="10"/>
  <c r="C25" i="12" s="1"/>
  <c r="D22" i="15" s="1"/>
  <c r="B6" i="35"/>
  <c r="C46" i="36" l="1"/>
  <c r="C47" i="36" s="1"/>
  <c r="C48" i="36" s="1"/>
  <c r="C34" i="36"/>
  <c r="C35" i="36" s="1"/>
  <c r="C36" i="36" s="1"/>
  <c r="C22" i="36"/>
  <c r="C23" i="36" s="1"/>
  <c r="C24" i="36" s="1"/>
  <c r="F35" i="10"/>
  <c r="F30" i="10"/>
  <c r="F23" i="9"/>
  <c r="C8" i="11"/>
  <c r="C11" i="11"/>
  <c r="C13" i="11" s="1"/>
  <c r="C31" i="20" s="1"/>
  <c r="C4" i="23"/>
  <c r="C8" i="23" s="1"/>
  <c r="C12" i="23" s="1"/>
  <c r="E22" i="16"/>
  <c r="C4" i="35"/>
  <c r="C5" i="35" s="1"/>
  <c r="C10" i="36"/>
  <c r="C11" i="36" s="1"/>
  <c r="C12" i="36" s="1"/>
  <c r="C29" i="12"/>
  <c r="E42" i="10"/>
  <c r="D25" i="12" s="1"/>
  <c r="E22" i="15" s="1"/>
  <c r="F42" i="10" l="1"/>
  <c r="E25" i="12" s="1"/>
  <c r="F22" i="15" s="1"/>
  <c r="D46" i="36"/>
  <c r="D47" i="36" s="1"/>
  <c r="D48" i="36" s="1"/>
  <c r="D34" i="36"/>
  <c r="D35" i="36" s="1"/>
  <c r="D36" i="36" s="1"/>
  <c r="D22" i="36"/>
  <c r="D23" i="36" s="1"/>
  <c r="D24" i="36" s="1"/>
  <c r="G35" i="10"/>
  <c r="G23" i="9"/>
  <c r="G30" i="10"/>
  <c r="C6" i="35"/>
  <c r="E4" i="23"/>
  <c r="E8" i="23" s="1"/>
  <c r="E12" i="23" s="1"/>
  <c r="E10" i="16"/>
  <c r="D6" i="11"/>
  <c r="C14" i="23"/>
  <c r="C16" i="23" s="1"/>
  <c r="D10" i="36"/>
  <c r="D11" i="36" s="1"/>
  <c r="D12" i="36" s="1"/>
  <c r="D4" i="23"/>
  <c r="D8" i="23" s="1"/>
  <c r="D12" i="23" s="1"/>
  <c r="D4" i="35"/>
  <c r="D5" i="35" s="1"/>
  <c r="F22" i="16"/>
  <c r="D29" i="12"/>
  <c r="G22" i="16" l="1"/>
  <c r="E29" i="12"/>
  <c r="E6" i="35" s="1"/>
  <c r="E4" i="35"/>
  <c r="E5" i="35" s="1"/>
  <c r="E34" i="36"/>
  <c r="E35" i="36" s="1"/>
  <c r="E36" i="36" s="1"/>
  <c r="E46" i="36"/>
  <c r="E47" i="36" s="1"/>
  <c r="E48" i="36" s="1"/>
  <c r="E10" i="36"/>
  <c r="E11" i="36" s="1"/>
  <c r="E12" i="36" s="1"/>
  <c r="E22" i="36"/>
  <c r="E23" i="36" s="1"/>
  <c r="E24" i="36" s="1"/>
  <c r="G42" i="10"/>
  <c r="F25" i="12" s="1"/>
  <c r="G22" i="15" s="1"/>
  <c r="D6" i="35"/>
  <c r="G10" i="16"/>
  <c r="F6" i="11"/>
  <c r="F10" i="16"/>
  <c r="E6" i="11"/>
  <c r="D14" i="23"/>
  <c r="D16" i="23" s="1"/>
  <c r="H35" i="10"/>
  <c r="H30" i="10"/>
  <c r="H23" i="9"/>
  <c r="E14" i="23"/>
  <c r="E16" i="23" s="1"/>
  <c r="E15" i="1"/>
  <c r="E17" i="1" s="1"/>
  <c r="B13" i="2"/>
  <c r="D8" i="11"/>
  <c r="D11" i="11"/>
  <c r="D13" i="11" s="1"/>
  <c r="C15" i="11"/>
  <c r="F29" i="12" l="1"/>
  <c r="F4" i="35"/>
  <c r="F5" i="35" s="1"/>
  <c r="F4" i="23"/>
  <c r="F8" i="23" s="1"/>
  <c r="F12" i="23" s="1"/>
  <c r="F14" i="23" s="1"/>
  <c r="F16" i="23" s="1"/>
  <c r="F46" i="36"/>
  <c r="F47" i="36" s="1"/>
  <c r="F48" i="36" s="1"/>
  <c r="H42" i="10"/>
  <c r="G25" i="12" s="1"/>
  <c r="H22" i="15" s="1"/>
  <c r="H22" i="16"/>
  <c r="F22" i="36"/>
  <c r="F23" i="36" s="1"/>
  <c r="F24" i="36" s="1"/>
  <c r="F10" i="36"/>
  <c r="F11" i="36" s="1"/>
  <c r="F12" i="36" s="1"/>
  <c r="F34" i="36"/>
  <c r="F35" i="36" s="1"/>
  <c r="F36" i="36" s="1"/>
  <c r="G34" i="36"/>
  <c r="G35" i="36" s="1"/>
  <c r="G36" i="36" s="1"/>
  <c r="D15" i="11"/>
  <c r="G10" i="36"/>
  <c r="G11" i="36" s="1"/>
  <c r="G12" i="36" s="1"/>
  <c r="I22" i="16"/>
  <c r="F6" i="35"/>
  <c r="E8" i="11"/>
  <c r="E11" i="11"/>
  <c r="E13" i="11" s="1"/>
  <c r="F8" i="11"/>
  <c r="F11" i="11"/>
  <c r="F13" i="11" s="1"/>
  <c r="C21" i="15"/>
  <c r="D8" i="16" s="1"/>
  <c r="D12" i="16" s="1"/>
  <c r="B31" i="12"/>
  <c r="B15" i="2"/>
  <c r="I35" i="10"/>
  <c r="I30" i="10"/>
  <c r="I23" i="9"/>
  <c r="H10" i="16"/>
  <c r="G6" i="11"/>
  <c r="G29" i="12" l="1"/>
  <c r="G4" i="35"/>
  <c r="G5" i="35" s="1"/>
  <c r="G46" i="36"/>
  <c r="G47" i="36" s="1"/>
  <c r="G48" i="36" s="1"/>
  <c r="G4" i="23"/>
  <c r="G8" i="23" s="1"/>
  <c r="G12" i="23" s="1"/>
  <c r="G14" i="23" s="1"/>
  <c r="G16" i="23" s="1"/>
  <c r="G22" i="36"/>
  <c r="G23" i="36" s="1"/>
  <c r="G24" i="36" s="1"/>
  <c r="I42" i="10"/>
  <c r="H25" i="12" s="1"/>
  <c r="I22" i="15" s="1"/>
  <c r="C13" i="2"/>
  <c r="C15" i="2"/>
  <c r="G6" i="35"/>
  <c r="D27" i="16"/>
  <c r="B38" i="17"/>
  <c r="B34" i="12"/>
  <c r="C31" i="12"/>
  <c r="D21" i="15"/>
  <c r="E8" i="16" s="1"/>
  <c r="E12" i="16" s="1"/>
  <c r="J35" i="10"/>
  <c r="J23" i="9"/>
  <c r="J30" i="10"/>
  <c r="G8" i="11"/>
  <c r="G11" i="11"/>
  <c r="G13" i="11" s="1"/>
  <c r="C9" i="2"/>
  <c r="C8" i="2"/>
  <c r="C6" i="2"/>
  <c r="C12" i="2"/>
  <c r="C10" i="2"/>
  <c r="B16" i="29"/>
  <c r="C7" i="2"/>
  <c r="C11" i="2"/>
  <c r="B23" i="2"/>
  <c r="C5" i="2"/>
  <c r="B19" i="30"/>
  <c r="B20" i="2"/>
  <c r="B20" i="17"/>
  <c r="F15" i="11"/>
  <c r="E15" i="11"/>
  <c r="I10" i="16"/>
  <c r="H6" i="11"/>
  <c r="H4" i="23" l="1"/>
  <c r="H8" i="23" s="1"/>
  <c r="H12" i="23" s="1"/>
  <c r="H14" i="23" s="1"/>
  <c r="H16" i="23" s="1"/>
  <c r="J22" i="16"/>
  <c r="H34" i="36"/>
  <c r="H35" i="36" s="1"/>
  <c r="H36" i="36" s="1"/>
  <c r="H29" i="12"/>
  <c r="H46" i="36"/>
  <c r="H47" i="36" s="1"/>
  <c r="H48" i="36" s="1"/>
  <c r="H10" i="36"/>
  <c r="H11" i="36" s="1"/>
  <c r="H12" i="36" s="1"/>
  <c r="H22" i="36"/>
  <c r="H23" i="36" s="1"/>
  <c r="H24" i="36" s="1"/>
  <c r="B30" i="17"/>
  <c r="D31" i="12"/>
  <c r="E21" i="15"/>
  <c r="F8" i="16" s="1"/>
  <c r="F12" i="16" s="1"/>
  <c r="E31" i="12"/>
  <c r="F21" i="15"/>
  <c r="J42" i="10"/>
  <c r="I25" i="12" s="1"/>
  <c r="J22" i="15" s="1"/>
  <c r="E27" i="16"/>
  <c r="C38" i="17"/>
  <c r="C34" i="12"/>
  <c r="C20" i="2"/>
  <c r="B13" i="15"/>
  <c r="C23" i="2"/>
  <c r="B13" i="34"/>
  <c r="O16" i="34" s="1"/>
  <c r="B26" i="29"/>
  <c r="B23" i="30"/>
  <c r="C21" i="2"/>
  <c r="B9" i="34"/>
  <c r="M16" i="34" s="1"/>
  <c r="J10" i="16"/>
  <c r="I6" i="11"/>
  <c r="H8" i="11"/>
  <c r="H11" i="11"/>
  <c r="H13" i="11" s="1"/>
  <c r="B19" i="2"/>
  <c r="G15" i="11"/>
  <c r="B20" i="28"/>
  <c r="A24" i="28" s="1"/>
  <c r="K35" i="10"/>
  <c r="K30" i="10"/>
  <c r="K42" i="10" s="1"/>
  <c r="J25" i="12" s="1"/>
  <c r="K22" i="15" s="1"/>
  <c r="K23" i="9"/>
  <c r="B7" i="35"/>
  <c r="B5" i="14"/>
  <c r="B9" i="14" s="1"/>
  <c r="B35" i="12" l="1"/>
  <c r="D30" i="16" s="1"/>
  <c r="D32" i="16" s="1"/>
  <c r="D33" i="16" s="1"/>
  <c r="B11" i="14"/>
  <c r="C10" i="14" s="1"/>
  <c r="B36" i="12"/>
  <c r="B29" i="17" s="1"/>
  <c r="J22" i="36"/>
  <c r="J23" i="36" s="1"/>
  <c r="J24" i="36" s="1"/>
  <c r="J46" i="36"/>
  <c r="J47" i="36" s="1"/>
  <c r="J48" i="36" s="1"/>
  <c r="J34" i="36"/>
  <c r="J35" i="36" s="1"/>
  <c r="J36" i="36" s="1"/>
  <c r="I22" i="36"/>
  <c r="I23" i="36" s="1"/>
  <c r="I24" i="36" s="1"/>
  <c r="I46" i="36"/>
  <c r="I47" i="36" s="1"/>
  <c r="I48" i="36" s="1"/>
  <c r="I34" i="36"/>
  <c r="I35" i="36" s="1"/>
  <c r="I36" i="36" s="1"/>
  <c r="C30" i="17"/>
  <c r="B33" i="17"/>
  <c r="B42" i="17" s="1"/>
  <c r="G8" i="16"/>
  <c r="G12" i="16" s="1"/>
  <c r="I8" i="11"/>
  <c r="I11" i="11"/>
  <c r="I13" i="11" s="1"/>
  <c r="I10" i="36"/>
  <c r="I11" i="36" s="1"/>
  <c r="I12" i="36" s="1"/>
  <c r="K22" i="16"/>
  <c r="I29" i="12"/>
  <c r="E38" i="17"/>
  <c r="G27" i="16"/>
  <c r="E34" i="12"/>
  <c r="C19" i="2"/>
  <c r="B7" i="15"/>
  <c r="C7" i="15"/>
  <c r="C9" i="16"/>
  <c r="C13" i="15"/>
  <c r="C5" i="14"/>
  <c r="C9" i="14" s="1"/>
  <c r="C7" i="35"/>
  <c r="L35" i="10"/>
  <c r="L30" i="10"/>
  <c r="H15" i="11"/>
  <c r="J10" i="36"/>
  <c r="J11" i="36" s="1"/>
  <c r="J12" i="36" s="1"/>
  <c r="L22" i="16"/>
  <c r="J29" i="12"/>
  <c r="F31" i="12"/>
  <c r="G21" i="15"/>
  <c r="H8" i="16" s="1"/>
  <c r="H12" i="16" s="1"/>
  <c r="F27" i="16"/>
  <c r="D38" i="17"/>
  <c r="D34" i="12"/>
  <c r="B3" i="17" l="1"/>
  <c r="B11" i="17" s="1"/>
  <c r="B15" i="17" s="1"/>
  <c r="B6" i="30"/>
  <c r="B11" i="30" s="1"/>
  <c r="B15" i="30" s="1"/>
  <c r="C18" i="15"/>
  <c r="C19" i="15" s="1"/>
  <c r="D16" i="15" s="1"/>
  <c r="B6" i="34"/>
  <c r="D4" i="26"/>
  <c r="D5" i="26" s="1"/>
  <c r="D13" i="26" s="1"/>
  <c r="B9" i="28" s="1"/>
  <c r="B10" i="28" s="1"/>
  <c r="B41" i="12"/>
  <c r="B50" i="17"/>
  <c r="B55" i="17" s="1"/>
  <c r="B58" i="17" s="1"/>
  <c r="B60" i="17" s="1"/>
  <c r="C12" i="14"/>
  <c r="C35" i="12" s="1"/>
  <c r="B4" i="31"/>
  <c r="B14" i="31" s="1"/>
  <c r="B17" i="31" s="1"/>
  <c r="B5" i="29"/>
  <c r="B10" i="29" s="1"/>
  <c r="B13" i="29" s="1"/>
  <c r="B8" i="35"/>
  <c r="D30" i="17"/>
  <c r="E30" i="17"/>
  <c r="L42" i="10"/>
  <c r="K25" i="12" s="1"/>
  <c r="L22" i="15" s="1"/>
  <c r="B9" i="15"/>
  <c r="B24" i="15" s="1"/>
  <c r="C7" i="16"/>
  <c r="C12" i="16" s="1"/>
  <c r="C33" i="16" s="1"/>
  <c r="C35" i="16" s="1"/>
  <c r="E7" i="35"/>
  <c r="E5" i="14"/>
  <c r="E9" i="14" s="1"/>
  <c r="E12" i="14" s="1"/>
  <c r="E35" i="12" s="1"/>
  <c r="G30" i="16" s="1"/>
  <c r="G32" i="16" s="1"/>
  <c r="G33" i="16" s="1"/>
  <c r="I15" i="11"/>
  <c r="H27" i="16"/>
  <c r="F38" i="17"/>
  <c r="F34" i="12"/>
  <c r="B14" i="33"/>
  <c r="D13" i="15"/>
  <c r="G31" i="12"/>
  <c r="H21" i="15"/>
  <c r="I8" i="16" s="1"/>
  <c r="I12" i="16" s="1"/>
  <c r="B30" i="33"/>
  <c r="D5" i="14"/>
  <c r="D9" i="14" s="1"/>
  <c r="D12" i="14" s="1"/>
  <c r="D35" i="12" s="1"/>
  <c r="F30" i="16" s="1"/>
  <c r="F32" i="16" s="1"/>
  <c r="F33" i="16" s="1"/>
  <c r="D7" i="35"/>
  <c r="L10" i="16"/>
  <c r="K6" i="11"/>
  <c r="C9" i="15"/>
  <c r="B13" i="33" s="1"/>
  <c r="D7" i="15"/>
  <c r="K10" i="16"/>
  <c r="J6" i="11"/>
  <c r="B12" i="31"/>
  <c r="B16" i="31" s="1"/>
  <c r="D12" i="26" l="1"/>
  <c r="B12" i="28" s="1"/>
  <c r="B13" i="28" s="1"/>
  <c r="B16" i="28" s="1"/>
  <c r="B18" i="28" s="1"/>
  <c r="E30" i="16"/>
  <c r="E32" i="16" s="1"/>
  <c r="E33" i="16" s="1"/>
  <c r="C36" i="12"/>
  <c r="C29" i="17" s="1"/>
  <c r="C33" i="17" s="1"/>
  <c r="C42" i="17" s="1"/>
  <c r="B23" i="29"/>
  <c r="C4" i="31"/>
  <c r="C12" i="31" s="1"/>
  <c r="D18" i="15"/>
  <c r="D19" i="15" s="1"/>
  <c r="C14" i="33" s="1"/>
  <c r="C6" i="34"/>
  <c r="C41" i="12"/>
  <c r="C5" i="29"/>
  <c r="C10" i="29" s="1"/>
  <c r="C23" i="29" s="1"/>
  <c r="C3" i="17"/>
  <c r="C11" i="17" s="1"/>
  <c r="C15" i="17" s="1"/>
  <c r="D36" i="12"/>
  <c r="D29" i="17" s="1"/>
  <c r="D33" i="17" s="1"/>
  <c r="D42" i="17" s="1"/>
  <c r="E36" i="12"/>
  <c r="E29" i="17" s="1"/>
  <c r="E33" i="17" s="1"/>
  <c r="E42" i="17" s="1"/>
  <c r="K46" i="36"/>
  <c r="K47" i="36" s="1"/>
  <c r="K48" i="36" s="1"/>
  <c r="K34" i="36"/>
  <c r="K35" i="36" s="1"/>
  <c r="K36" i="36" s="1"/>
  <c r="K22" i="36"/>
  <c r="K23" i="36" s="1"/>
  <c r="K24" i="36" s="1"/>
  <c r="F30" i="17"/>
  <c r="C24" i="15"/>
  <c r="F5" i="14"/>
  <c r="F9" i="14" s="1"/>
  <c r="F12" i="14" s="1"/>
  <c r="F35" i="12" s="1"/>
  <c r="H30" i="16" s="1"/>
  <c r="H32" i="16" s="1"/>
  <c r="H33" i="16" s="1"/>
  <c r="F7" i="35"/>
  <c r="D34" i="16"/>
  <c r="D35" i="16" s="1"/>
  <c r="B47" i="15"/>
  <c r="B16" i="33"/>
  <c r="B18" i="33" s="1"/>
  <c r="B29" i="33"/>
  <c r="B32" i="33" s="1"/>
  <c r="B34" i="33" s="1"/>
  <c r="I27" i="16"/>
  <c r="G38" i="17"/>
  <c r="G34" i="12"/>
  <c r="D9" i="15"/>
  <c r="C13" i="33" s="1"/>
  <c r="E7" i="15"/>
  <c r="J8" i="11"/>
  <c r="J11" i="11"/>
  <c r="J13" i="11" s="1"/>
  <c r="K8" i="11"/>
  <c r="K11" i="11"/>
  <c r="K13" i="11" s="1"/>
  <c r="E13" i="15"/>
  <c r="H31" i="12"/>
  <c r="I21" i="15"/>
  <c r="J8" i="16" s="1"/>
  <c r="J12" i="16" s="1"/>
  <c r="K10" i="36"/>
  <c r="K11" i="36" s="1"/>
  <c r="K12" i="36" s="1"/>
  <c r="M22" i="16"/>
  <c r="K29" i="12"/>
  <c r="E4" i="26" l="1"/>
  <c r="E5" i="26" s="1"/>
  <c r="E13" i="26" s="1"/>
  <c r="C9" i="28" s="1"/>
  <c r="C10" i="28" s="1"/>
  <c r="C8" i="35"/>
  <c r="C50" i="17"/>
  <c r="C55" i="17" s="1"/>
  <c r="C58" i="17" s="1"/>
  <c r="C6" i="30"/>
  <c r="C11" i="30" s="1"/>
  <c r="C15" i="30" s="1"/>
  <c r="C14" i="31"/>
  <c r="C13" i="29"/>
  <c r="G4" i="26"/>
  <c r="G5" i="26" s="1"/>
  <c r="G13" i="26" s="1"/>
  <c r="E9" i="28" s="1"/>
  <c r="E10" i="28" s="1"/>
  <c r="E5" i="29"/>
  <c r="E10" i="29" s="1"/>
  <c r="E13" i="29" s="1"/>
  <c r="F18" i="15"/>
  <c r="D4" i="31"/>
  <c r="D12" i="31" s="1"/>
  <c r="E12" i="26"/>
  <c r="C12" i="28" s="1"/>
  <c r="C13" i="28" s="1"/>
  <c r="C16" i="28" s="1"/>
  <c r="C24" i="28" s="1"/>
  <c r="D6" i="30"/>
  <c r="D11" i="30" s="1"/>
  <c r="D15" i="30" s="1"/>
  <c r="D6" i="34"/>
  <c r="D50" i="17"/>
  <c r="D55" i="17" s="1"/>
  <c r="D58" i="17" s="1"/>
  <c r="E18" i="15"/>
  <c r="D5" i="29"/>
  <c r="D10" i="29" s="1"/>
  <c r="D13" i="29" s="1"/>
  <c r="D3" i="17"/>
  <c r="D11" i="17" s="1"/>
  <c r="D15" i="17" s="1"/>
  <c r="D41" i="12"/>
  <c r="E41" i="12" s="1"/>
  <c r="F4" i="26"/>
  <c r="F5" i="26" s="1"/>
  <c r="F13" i="26" s="1"/>
  <c r="D9" i="28" s="1"/>
  <c r="D10" i="28" s="1"/>
  <c r="D8" i="35"/>
  <c r="E50" i="17"/>
  <c r="E55" i="17" s="1"/>
  <c r="E58" i="17" s="1"/>
  <c r="E6" i="34"/>
  <c r="E4" i="31"/>
  <c r="E14" i="31" s="1"/>
  <c r="F36" i="12"/>
  <c r="F29" i="17" s="1"/>
  <c r="F33" i="17" s="1"/>
  <c r="F42" i="17" s="1"/>
  <c r="E6" i="30"/>
  <c r="E11" i="30" s="1"/>
  <c r="E15" i="30" s="1"/>
  <c r="E3" i="17"/>
  <c r="E11" i="17" s="1"/>
  <c r="E15" i="17" s="1"/>
  <c r="E8" i="35"/>
  <c r="G30" i="17"/>
  <c r="B24" i="28"/>
  <c r="M10" i="16"/>
  <c r="L6" i="11"/>
  <c r="F13" i="15"/>
  <c r="C30" i="33"/>
  <c r="E16" i="15"/>
  <c r="D24" i="15"/>
  <c r="C37" i="16"/>
  <c r="C39" i="16" s="1"/>
  <c r="B50" i="15"/>
  <c r="B52" i="15" s="1"/>
  <c r="H38" i="17"/>
  <c r="J27" i="16"/>
  <c r="H34" i="12"/>
  <c r="K15" i="11"/>
  <c r="E9" i="15"/>
  <c r="D13" i="33" s="1"/>
  <c r="F7" i="15"/>
  <c r="G5" i="14"/>
  <c r="G9" i="14" s="1"/>
  <c r="G12" i="14" s="1"/>
  <c r="G35" i="12" s="1"/>
  <c r="I30" i="16" s="1"/>
  <c r="I32" i="16" s="1"/>
  <c r="I33" i="16" s="1"/>
  <c r="G7" i="35"/>
  <c r="C29" i="33"/>
  <c r="C16" i="33"/>
  <c r="C18" i="33" s="1"/>
  <c r="E34" i="16"/>
  <c r="E35" i="16" s="1"/>
  <c r="C47" i="15"/>
  <c r="C50" i="15" s="1"/>
  <c r="J15" i="11"/>
  <c r="G12" i="26" l="1"/>
  <c r="E12" i="28" s="1"/>
  <c r="E13" i="28" s="1"/>
  <c r="O17" i="34"/>
  <c r="E23" i="29"/>
  <c r="F6" i="30"/>
  <c r="F11" i="30" s="1"/>
  <c r="F15" i="30" s="1"/>
  <c r="H4" i="26"/>
  <c r="H5" i="26" s="1"/>
  <c r="H13" i="26" s="1"/>
  <c r="F9" i="28" s="1"/>
  <c r="F10" i="28" s="1"/>
  <c r="D14" i="31"/>
  <c r="F41" i="12"/>
  <c r="F4" i="31"/>
  <c r="F14" i="31" s="1"/>
  <c r="F5" i="29"/>
  <c r="F10" i="29" s="1"/>
  <c r="F13" i="29" s="1"/>
  <c r="F8" i="35"/>
  <c r="E19" i="15"/>
  <c r="E24" i="15" s="1"/>
  <c r="D23" i="29"/>
  <c r="F12" i="26"/>
  <c r="D12" i="28" s="1"/>
  <c r="D13" i="28" s="1"/>
  <c r="D16" i="28" s="1"/>
  <c r="D18" i="28" s="1"/>
  <c r="F50" i="17"/>
  <c r="F55" i="17" s="1"/>
  <c r="F58" i="17" s="1"/>
  <c r="F6" i="34"/>
  <c r="E12" i="31"/>
  <c r="F3" i="17"/>
  <c r="F11" i="17" s="1"/>
  <c r="F15" i="17" s="1"/>
  <c r="G18" i="15"/>
  <c r="G36" i="12"/>
  <c r="G29" i="17" s="1"/>
  <c r="G33" i="17" s="1"/>
  <c r="G42" i="17" s="1"/>
  <c r="C18" i="28"/>
  <c r="H30" i="17"/>
  <c r="C32" i="33"/>
  <c r="C34" i="33" s="1"/>
  <c r="J31" i="12"/>
  <c r="K21" i="15"/>
  <c r="C52" i="15"/>
  <c r="D37" i="16"/>
  <c r="D39" i="16" s="1"/>
  <c r="D30" i="33"/>
  <c r="I31" i="12"/>
  <c r="J21" i="15"/>
  <c r="K8" i="16" s="1"/>
  <c r="K12" i="16" s="1"/>
  <c r="F34" i="16"/>
  <c r="F35" i="16" s="1"/>
  <c r="D47" i="15"/>
  <c r="D50" i="15" s="1"/>
  <c r="F9" i="15"/>
  <c r="E13" i="33" s="1"/>
  <c r="G7" i="15"/>
  <c r="H5" i="14"/>
  <c r="H9" i="14" s="1"/>
  <c r="H12" i="14" s="1"/>
  <c r="H35" i="12" s="1"/>
  <c r="J30" i="16" s="1"/>
  <c r="J32" i="16" s="1"/>
  <c r="J33" i="16" s="1"/>
  <c r="D29" i="33"/>
  <c r="G13" i="15"/>
  <c r="L8" i="11"/>
  <c r="L11" i="11"/>
  <c r="L13" i="11" s="1"/>
  <c r="E16" i="28"/>
  <c r="O18" i="34" l="1"/>
  <c r="O19" i="34" s="1"/>
  <c r="H12" i="26"/>
  <c r="F12" i="28" s="1"/>
  <c r="F13" i="28" s="1"/>
  <c r="F12" i="31"/>
  <c r="F23" i="29"/>
  <c r="F16" i="15"/>
  <c r="F19" i="15" s="1"/>
  <c r="F24" i="15" s="1"/>
  <c r="D14" i="33"/>
  <c r="D16" i="33" s="1"/>
  <c r="D18" i="33" s="1"/>
  <c r="I4" i="26"/>
  <c r="I5" i="26" s="1"/>
  <c r="I12" i="26" s="1"/>
  <c r="G12" i="28" s="1"/>
  <c r="G13" i="28" s="1"/>
  <c r="G5" i="29"/>
  <c r="G10" i="29" s="1"/>
  <c r="G23" i="29" s="1"/>
  <c r="G3" i="17"/>
  <c r="G11" i="17" s="1"/>
  <c r="G15" i="17" s="1"/>
  <c r="G8" i="35"/>
  <c r="G4" i="31"/>
  <c r="G14" i="31" s="1"/>
  <c r="G6" i="34"/>
  <c r="G50" i="17"/>
  <c r="G55" i="17" s="1"/>
  <c r="G58" i="17" s="1"/>
  <c r="G41" i="12"/>
  <c r="G6" i="30"/>
  <c r="G11" i="30" s="1"/>
  <c r="G15" i="30" s="1"/>
  <c r="H18" i="15"/>
  <c r="H36" i="12"/>
  <c r="H29" i="17" s="1"/>
  <c r="H33" i="17" s="1"/>
  <c r="H42" i="17" s="1"/>
  <c r="D24" i="28"/>
  <c r="D32" i="33"/>
  <c r="D34" i="33" s="1"/>
  <c r="F16" i="28"/>
  <c r="F18" i="28" s="1"/>
  <c r="D52" i="15"/>
  <c r="E37" i="16"/>
  <c r="E39" i="16" s="1"/>
  <c r="K27" i="16"/>
  <c r="I38" i="17"/>
  <c r="I34" i="12"/>
  <c r="L15" i="11"/>
  <c r="H13" i="15"/>
  <c r="E47" i="15"/>
  <c r="E50" i="15" s="1"/>
  <c r="G34" i="16"/>
  <c r="G35" i="16" s="1"/>
  <c r="L8" i="16"/>
  <c r="L12" i="16" s="1"/>
  <c r="E18" i="28"/>
  <c r="E24" i="28"/>
  <c r="G9" i="15"/>
  <c r="F13" i="33" s="1"/>
  <c r="H7" i="15"/>
  <c r="J38" i="17"/>
  <c r="L27" i="16"/>
  <c r="J34" i="12"/>
  <c r="E29" i="33"/>
  <c r="E30" i="33" l="1"/>
  <c r="E32" i="33" s="1"/>
  <c r="E34" i="33" s="1"/>
  <c r="H3" i="17"/>
  <c r="H11" i="17" s="1"/>
  <c r="B24" i="17" s="1"/>
  <c r="E14" i="33"/>
  <c r="E16" i="33" s="1"/>
  <c r="E18" i="33" s="1"/>
  <c r="H4" i="31"/>
  <c r="G16" i="15"/>
  <c r="G19" i="15" s="1"/>
  <c r="F14" i="33" s="1"/>
  <c r="H50" i="17"/>
  <c r="H55" i="17" s="1"/>
  <c r="H6" i="30"/>
  <c r="H11" i="30" s="1"/>
  <c r="H15" i="30" s="1"/>
  <c r="B26" i="17"/>
  <c r="I13" i="26"/>
  <c r="G9" i="28" s="1"/>
  <c r="G10" i="28" s="1"/>
  <c r="G16" i="28" s="1"/>
  <c r="G24" i="28" s="1"/>
  <c r="G13" i="29"/>
  <c r="H41" i="12"/>
  <c r="J4" i="26"/>
  <c r="J5" i="26" s="1"/>
  <c r="J12" i="26" s="1"/>
  <c r="H12" i="28" s="1"/>
  <c r="H13" i="28" s="1"/>
  <c r="I18" i="15"/>
  <c r="H5" i="29"/>
  <c r="H10" i="29" s="1"/>
  <c r="H23" i="29" s="1"/>
  <c r="H6" i="34"/>
  <c r="M17" i="34" s="1"/>
  <c r="M18" i="34" s="1"/>
  <c r="G12" i="31"/>
  <c r="I30" i="17"/>
  <c r="J30" i="17"/>
  <c r="F24" i="28"/>
  <c r="I13" i="15"/>
  <c r="J13" i="15" s="1"/>
  <c r="K13" i="15" s="1"/>
  <c r="L13" i="15" s="1"/>
  <c r="J5" i="14"/>
  <c r="J9" i="14" s="1"/>
  <c r="J12" i="14" s="1"/>
  <c r="J35" i="12" s="1"/>
  <c r="L30" i="16" s="1"/>
  <c r="L32" i="16" s="1"/>
  <c r="L33" i="16" s="1"/>
  <c r="F47" i="15"/>
  <c r="F50" i="15" s="1"/>
  <c r="H34" i="16"/>
  <c r="H35" i="16" s="1"/>
  <c r="F37" i="16"/>
  <c r="F39" i="16" s="1"/>
  <c r="E52" i="15"/>
  <c r="K31" i="12"/>
  <c r="L21" i="15"/>
  <c r="M8" i="16" s="1"/>
  <c r="M12" i="16" s="1"/>
  <c r="I5" i="14"/>
  <c r="I9" i="14" s="1"/>
  <c r="I12" i="14" s="1"/>
  <c r="I35" i="12" s="1"/>
  <c r="K30" i="16" s="1"/>
  <c r="K32" i="16" s="1"/>
  <c r="K33" i="16" s="1"/>
  <c r="I7" i="15"/>
  <c r="H9" i="15"/>
  <c r="G13" i="33" s="1"/>
  <c r="F29" i="33"/>
  <c r="F16" i="33"/>
  <c r="F18" i="33" s="1"/>
  <c r="H15" i="17" l="1"/>
  <c r="B17" i="17" s="1"/>
  <c r="B22" i="17" s="1"/>
  <c r="H16" i="15"/>
  <c r="H19" i="15" s="1"/>
  <c r="G14" i="33" s="1"/>
  <c r="G24" i="15"/>
  <c r="B19" i="33"/>
  <c r="F30" i="33"/>
  <c r="F32" i="33" s="1"/>
  <c r="F34" i="33" s="1"/>
  <c r="G18" i="28"/>
  <c r="J13" i="26"/>
  <c r="H9" i="28" s="1"/>
  <c r="H10" i="28" s="1"/>
  <c r="H16" i="28" s="1"/>
  <c r="H18" i="28" s="1"/>
  <c r="H13" i="29"/>
  <c r="I36" i="12"/>
  <c r="I29" i="17" s="1"/>
  <c r="I33" i="17" s="1"/>
  <c r="I42" i="17" s="1"/>
  <c r="J36" i="12"/>
  <c r="J29" i="17" s="1"/>
  <c r="J33" i="17" s="1"/>
  <c r="J42" i="17" s="1"/>
  <c r="G37" i="16"/>
  <c r="G39" i="16" s="1"/>
  <c r="F52" i="15"/>
  <c r="G16" i="33"/>
  <c r="G18" i="33" s="1"/>
  <c r="G29" i="33"/>
  <c r="I9" i="15"/>
  <c r="J7" i="15"/>
  <c r="H24" i="15"/>
  <c r="G30" i="33"/>
  <c r="I16" i="15"/>
  <c r="I19" i="15" s="1"/>
  <c r="M27" i="16"/>
  <c r="K38" i="17"/>
  <c r="K34" i="12"/>
  <c r="I34" i="16"/>
  <c r="I35" i="16" s="1"/>
  <c r="G47" i="15"/>
  <c r="G50" i="15" s="1"/>
  <c r="B19" i="28" l="1"/>
  <c r="B21" i="28" s="1"/>
  <c r="I5" i="29"/>
  <c r="I10" i="29" s="1"/>
  <c r="I23" i="29" s="1"/>
  <c r="I6" i="30"/>
  <c r="I11" i="30" s="1"/>
  <c r="I15" i="30" s="1"/>
  <c r="J6" i="30"/>
  <c r="J11" i="30" s="1"/>
  <c r="J15" i="30" s="1"/>
  <c r="I41" i="12"/>
  <c r="J41" i="12" s="1"/>
  <c r="J5" i="29"/>
  <c r="J10" i="29" s="1"/>
  <c r="J13" i="29" s="1"/>
  <c r="K18" i="15"/>
  <c r="J6" i="34"/>
  <c r="J50" i="17"/>
  <c r="J55" i="17" s="1"/>
  <c r="H24" i="28"/>
  <c r="B22" i="28" s="1"/>
  <c r="J18" i="15"/>
  <c r="I6" i="34"/>
  <c r="M19" i="34" s="1"/>
  <c r="I50" i="17"/>
  <c r="I55" i="17" s="1"/>
  <c r="K30" i="17"/>
  <c r="K5" i="14"/>
  <c r="K9" i="14" s="1"/>
  <c r="K12" i="14" s="1"/>
  <c r="K35" i="12" s="1"/>
  <c r="M30" i="16" s="1"/>
  <c r="M32" i="16" s="1"/>
  <c r="M33" i="16" s="1"/>
  <c r="G32" i="33"/>
  <c r="G34" i="33" s="1"/>
  <c r="B35" i="33" s="1"/>
  <c r="J9" i="15"/>
  <c r="K7" i="15"/>
  <c r="I13" i="29"/>
  <c r="I24" i="15"/>
  <c r="J16" i="15"/>
  <c r="G52" i="15"/>
  <c r="H37" i="16"/>
  <c r="H39" i="16" s="1"/>
  <c r="J34" i="16"/>
  <c r="J35" i="16" s="1"/>
  <c r="H47" i="15"/>
  <c r="H50" i="15" s="1"/>
  <c r="J23" i="29" l="1"/>
  <c r="J19" i="15"/>
  <c r="J24" i="15" s="1"/>
  <c r="K36" i="12"/>
  <c r="K29" i="17" s="1"/>
  <c r="K33" i="17" s="1"/>
  <c r="K42" i="17" s="1"/>
  <c r="B44" i="17" s="1"/>
  <c r="L7" i="15"/>
  <c r="L9" i="15" s="1"/>
  <c r="K9" i="15"/>
  <c r="K34" i="16"/>
  <c r="K35" i="16" s="1"/>
  <c r="I47" i="15"/>
  <c r="I50" i="15" s="1"/>
  <c r="H52" i="15"/>
  <c r="I37" i="16"/>
  <c r="I39" i="16" s="1"/>
  <c r="K16" i="15" l="1"/>
  <c r="K19" i="15" s="1"/>
  <c r="K24" i="15" s="1"/>
  <c r="K6" i="30"/>
  <c r="K11" i="30" s="1"/>
  <c r="K15" i="30" s="1"/>
  <c r="B17" i="30" s="1"/>
  <c r="B21" i="30" s="1"/>
  <c r="K6" i="34"/>
  <c r="B8" i="34" s="1"/>
  <c r="B15" i="34" s="1"/>
  <c r="K50" i="17"/>
  <c r="K55" i="17" s="1"/>
  <c r="K41" i="12"/>
  <c r="K5" i="29"/>
  <c r="K10" i="29" s="1"/>
  <c r="K13" i="29" s="1"/>
  <c r="B14" i="29" s="1"/>
  <c r="L18" i="15"/>
  <c r="J37" i="16"/>
  <c r="J39" i="16" s="1"/>
  <c r="I52" i="15"/>
  <c r="B25" i="30"/>
  <c r="L34" i="16"/>
  <c r="L35" i="16" s="1"/>
  <c r="J47" i="15"/>
  <c r="J50" i="15" s="1"/>
  <c r="L16" i="15"/>
  <c r="L19" i="15" l="1"/>
  <c r="L24" i="15" s="1"/>
  <c r="K23" i="29"/>
  <c r="B24" i="29" s="1"/>
  <c r="B11" i="34"/>
  <c r="K37" i="16"/>
  <c r="K39" i="16" s="1"/>
  <c r="J52" i="15"/>
  <c r="M34" i="16"/>
  <c r="M35" i="16" s="1"/>
  <c r="K47" i="15"/>
  <c r="K50" i="15" s="1"/>
  <c r="L47" i="15" l="1"/>
  <c r="L50" i="15" s="1"/>
  <c r="K52" i="15"/>
  <c r="L37" i="16"/>
  <c r="L39" i="16" s="1"/>
  <c r="L52" i="15" l="1"/>
  <c r="M37" i="16"/>
  <c r="M39" i="16" s="1"/>
</calcChain>
</file>

<file path=xl/sharedStrings.xml><?xml version="1.0" encoding="utf-8"?>
<sst xmlns="http://schemas.openxmlformats.org/spreadsheetml/2006/main" count="1251" uniqueCount="654">
  <si>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</si>
  <si>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</si>
  <si>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</si>
  <si>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</si>
  <si>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</si>
  <si>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</si>
  <si>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</si>
  <si>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</si>
  <si>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</si>
  <si>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</si>
  <si>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</si>
  <si>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</si>
  <si>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</si>
  <si>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</si>
  <si>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</si>
  <si>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</si>
  <si>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</si>
  <si>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</si>
  <si>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</si>
  <si>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</si>
  <si>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</si>
  <si>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</si>
  <si>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</si>
  <si>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</si>
  <si>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</si>
  <si>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</si>
  <si>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</si>
  <si>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</si>
  <si>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</si>
  <si>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</si>
  <si>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</si>
  <si>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</si>
  <si>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</si>
  <si>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</si>
  <si>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</si>
  <si>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</si>
  <si>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</si>
  <si>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</si>
  <si>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</si>
  <si>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</si>
  <si>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</si>
  <si>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</si>
  <si>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</si>
  <si>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</si>
  <si>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</si>
  <si>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</si>
  <si>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</si>
  <si>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</si>
  <si>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</si>
  <si>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</si>
  <si>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</si>
  <si>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</si>
  <si>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</si>
  <si>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</si>
  <si>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</si>
  <si>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</si>
  <si>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</si>
  <si>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</si>
  <si>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</si>
  <si>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</si>
  <si>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</si>
  <si>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</si>
  <si>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</si>
  <si>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</si>
  <si>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2 TPH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</si>
  <si>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</si>
  <si>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</si>
  <si>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</si>
  <si>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</si>
  <si>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</si>
  <si>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</si>
  <si>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</si>
  <si>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</si>
  <si>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</si>
  <si>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</si>
  <si>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</si>
  <si>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</si>
  <si>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</si>
  <si>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Finished Goods (MT)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</si>
  <si>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</si>
  <si>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</si>
  <si>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</si>
  <si>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</si>
  <si>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</si>
  <si>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</si>
  <si>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</si>
  <si>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</si>
  <si>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</si>
  <si>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</si>
  <si>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</si>
  <si>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</si>
  <si>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</si>
  <si>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</si>
  <si>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</si>
  <si>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</si>
  <si>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</si>
  <si>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</si>
  <si>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</si>
  <si>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</si>
  <si>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</si>
  <si>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</si>
  <si>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</si>
  <si>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</si>
  <si>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</si>
  <si>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</si>
  <si>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</si>
  <si>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</si>
  <si>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</si>
  <si>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</si>
  <si>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</si>
  <si>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</si>
  <si>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</si>
  <si>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</si>
  <si>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</si>
  <si>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</si>
  <si>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</si>
  <si>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</si>
  <si>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</si>
  <si>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</si>
  <si>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</si>
  <si>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</si>
  <si>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</si>
  <si>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</si>
  <si>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</si>
  <si>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</si>
  <si>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</si>
  <si>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</si>
  <si>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</si>
  <si>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</si>
  <si>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15000 p.m.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</si>
  <si>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</si>
  <si>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</si>
  <si>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</si>
  <si>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</si>
  <si>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</si>
  <si>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</si>
  <si>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</si>
  <si>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</si>
  <si>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</si>
  <si>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</si>
  <si>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</si>
  <si>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</si>
  <si>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</si>
  <si>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</si>
  <si>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</si>
  <si>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</si>
  <si>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</si>
  <si>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</si>
  <si>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</si>
  <si>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</si>
  <si>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</si>
  <si>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1000/ton</t>
  </si>
  <si>
    <t>Packaging Material</t>
  </si>
  <si>
    <t>Provided by buyer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</si>
  <si>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</si>
  <si>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</si>
  <si>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</si>
  <si>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</si>
  <si>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</si>
  <si>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300/ton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</si>
  <si>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</si>
  <si>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</si>
  <si>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</si>
  <si>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</si>
  <si>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</si>
  <si>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</si>
  <si>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</si>
  <si>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</si>
  <si>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Captive Operations Grade Output (MT)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</si>
  <si>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</si>
  <si>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</si>
  <si>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</si>
  <si>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</si>
  <si>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</si>
  <si>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</si>
  <si>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</si>
  <si>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</si>
  <si>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</si>
  <si>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</si>
  <si>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</si>
  <si>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</si>
  <si>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</si>
  <si>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</si>
  <si>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</si>
  <si>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</si>
  <si>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</si>
  <si>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</si>
  <si>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</si>
  <si>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</si>
  <si>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</si>
  <si>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</si>
  <si>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</si>
  <si>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</si>
  <si>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</si>
  <si>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</si>
  <si>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</si>
  <si>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</si>
  <si>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</si>
  <si>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</si>
  <si>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</si>
  <si>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</si>
  <si>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</si>
  <si>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</si>
  <si>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</si>
  <si>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</si>
  <si>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</si>
  <si>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</si>
  <si>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</si>
  <si>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</si>
  <si>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</si>
  <si>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</si>
  <si>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</si>
  <si>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</si>
  <si>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</si>
  <si>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</si>
  <si>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</si>
  <si>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</si>
  <si>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</si>
  <si>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</si>
  <si>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</si>
  <si>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</si>
  <si>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</si>
  <si>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</si>
  <si>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</si>
  <si>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</si>
  <si>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</si>
  <si>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</si>
  <si>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</si>
  <si>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</si>
  <si>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</si>
  <si>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</si>
  <si>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</si>
  <si>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</si>
  <si>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</si>
  <si>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</si>
  <si>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</si>
  <si>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</si>
  <si>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</si>
  <si>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</si>
  <si>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</si>
  <si>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</si>
  <si>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</si>
  <si>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</si>
  <si>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</si>
  <si>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</si>
  <si>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</si>
  <si>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</si>
  <si>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</si>
  <si>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</si>
  <si>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</si>
  <si>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</si>
  <si>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</si>
  <si>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</si>
  <si>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</si>
  <si>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</si>
  <si>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</si>
  <si>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</si>
  <si>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</si>
  <si>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</si>
  <si>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</si>
  <si>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</si>
  <si>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</si>
  <si>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</si>
  <si>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</si>
  <si>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</si>
  <si>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</si>
  <si>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</si>
  <si>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</si>
  <si>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</si>
  <si>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</si>
  <si>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</si>
  <si>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</si>
  <si>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</si>
  <si>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</si>
  <si>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</si>
  <si>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</si>
  <si>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</si>
  <si>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</si>
  <si>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</si>
  <si>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</si>
  <si>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</si>
  <si>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</si>
  <si>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</si>
  <si>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</si>
  <si>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</si>
  <si>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</si>
  <si>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</si>
  <si>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</si>
  <si>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</si>
  <si>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</si>
  <si>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</si>
  <si>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</si>
  <si>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</si>
  <si>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</si>
  <si>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</si>
  <si>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</si>
  <si>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</si>
  <si>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</si>
  <si>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</si>
  <si>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</si>
  <si>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</si>
  <si>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</si>
  <si>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</si>
  <si>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</si>
  <si>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</si>
  <si>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</si>
  <si>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</si>
  <si>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</si>
  <si>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</si>
  <si>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</si>
  <si>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</si>
  <si>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</si>
  <si>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</si>
  <si>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</si>
  <si>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</si>
  <si>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</si>
  <si>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</si>
  <si>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</si>
  <si>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</si>
  <si>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</si>
  <si>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</si>
  <si>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</si>
  <si>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</si>
  <si>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</si>
  <si>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</si>
  <si>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</si>
  <si>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</si>
  <si>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 xml:space="preserve">Sr. 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</si>
  <si>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</si>
  <si>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</si>
  <si>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</si>
  <si>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</si>
  <si>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</si>
  <si>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</si>
  <si>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</si>
  <si>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</si>
  <si>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</si>
  <si>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</si>
  <si>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</si>
  <si>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</si>
  <si>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</si>
  <si>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</si>
  <si>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</si>
  <si>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</si>
  <si>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</si>
  <si>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</si>
  <si>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</si>
  <si>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</si>
  <si>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</si>
  <si>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</si>
  <si>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</si>
  <si>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</si>
  <si>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</si>
  <si>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</si>
  <si>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</si>
  <si>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</si>
  <si>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</si>
  <si>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</si>
  <si>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</si>
  <si>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</si>
  <si>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</si>
  <si>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</si>
  <si>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</si>
  <si>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</si>
  <si>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</si>
  <si>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</si>
  <si>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</si>
  <si>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</si>
  <si>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</si>
  <si>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</si>
  <si>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</si>
  <si>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</si>
  <si>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</si>
  <si>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</si>
  <si>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</si>
  <si>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</si>
  <si>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</si>
  <si>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</si>
  <si>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</si>
  <si>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</si>
  <si>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</si>
  <si>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</si>
  <si>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</si>
  <si>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</si>
  <si>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Grade Output 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</si>
  <si>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</si>
  <si>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</si>
  <si>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</si>
  <si>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</si>
  <si>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</si>
  <si>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</si>
  <si>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</si>
  <si>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</si>
  <si>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</si>
  <si>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</si>
  <si>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</si>
  <si>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</si>
  <si>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</si>
  <si>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</si>
  <si>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</si>
  <si>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</si>
  <si>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</si>
  <si>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</si>
  <si>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</si>
  <si>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Pomegranate - Small Pack house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</si>
  <si>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</si>
  <si>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</si>
  <si>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</si>
  <si>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</si>
  <si>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</si>
  <si>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</si>
  <si>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</si>
  <si>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</si>
  <si>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</si>
  <si>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</si>
  <si>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</si>
  <si>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</si>
  <si>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</si>
  <si>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</si>
  <si>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</si>
  <si>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</si>
  <si>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</si>
  <si>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</si>
  <si>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</si>
  <si>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</si>
  <si>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</si>
  <si>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</si>
  <si>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</si>
  <si>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</si>
  <si>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</si>
  <si>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</si>
  <si>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</si>
  <si>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</si>
  <si>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</si>
  <si>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S.No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</si>
  <si>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</si>
  <si>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</si>
  <si>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</si>
  <si>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</si>
  <si>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</si>
  <si>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</si>
  <si>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</si>
  <si>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</si>
  <si>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</si>
  <si>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</si>
  <si>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</si>
  <si>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</si>
  <si>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</si>
  <si>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</si>
  <si>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</si>
  <si>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</si>
  <si>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</si>
  <si>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</si>
  <si>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</si>
  <si>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</si>
  <si>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</si>
  <si>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</si>
  <si>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</si>
  <si>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</si>
  <si>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</si>
  <si>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</si>
  <si>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</si>
  <si>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</si>
  <si>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</si>
  <si>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</si>
  <si>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</si>
  <si>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</si>
  <si>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</si>
  <si>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</si>
  <si>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</si>
  <si>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</si>
  <si>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</si>
  <si>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</si>
  <si>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</si>
  <si>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</si>
  <si>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</si>
  <si>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</si>
  <si>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</si>
  <si>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</si>
  <si>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</si>
  <si>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</si>
  <si>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</si>
  <si>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</si>
  <si>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</si>
  <si>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</si>
  <si>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</si>
  <si>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</si>
  <si>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</si>
  <si>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</si>
  <si>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</si>
  <si>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</si>
  <si>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</si>
  <si>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</si>
  <si>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</si>
  <si>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</si>
  <si>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</si>
  <si>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</si>
  <si>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</si>
  <si>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</si>
  <si>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</si>
  <si>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</si>
  <si>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</si>
  <si>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</si>
  <si>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</si>
  <si>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</si>
  <si>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</si>
  <si>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</si>
  <si>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</si>
  <si>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</si>
  <si>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</si>
  <si>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</si>
  <si>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</si>
  <si>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</si>
  <si>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</si>
  <si>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</si>
  <si>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</si>
  <si>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</si>
  <si>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</si>
  <si>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</si>
  <si>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</si>
  <si>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</si>
  <si>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</si>
  <si>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</si>
  <si>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</si>
  <si>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</si>
  <si>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</si>
  <si>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</si>
  <si>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</si>
  <si>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</si>
  <si>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</si>
  <si>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</si>
  <si>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</si>
  <si>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</si>
  <si>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</si>
  <si>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</si>
  <si>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</si>
  <si>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</si>
  <si>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</si>
  <si>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</si>
  <si>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</si>
  <si>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</si>
  <si>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</si>
  <si>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</si>
  <si>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</si>
  <si>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</si>
  <si>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</si>
  <si>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</si>
  <si>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</si>
  <si>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</si>
  <si>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</si>
  <si>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</si>
  <si>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</si>
  <si>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</si>
  <si>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</si>
  <si>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</si>
  <si>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</si>
  <si>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</si>
  <si>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</si>
  <si>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</si>
  <si>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</si>
  <si>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</si>
  <si>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</si>
  <si>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</si>
  <si>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</si>
  <si>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</si>
  <si>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</si>
  <si>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</si>
  <si>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</si>
  <si>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White wash to internal / external wall surfaces</t>
  </si>
  <si>
    <t>Silky Polisher</t>
  </si>
  <si>
    <t>Length Grader</t>
  </si>
  <si>
    <t>Pre Cleaner</t>
  </si>
  <si>
    <t>Rice discharger with all accessories</t>
  </si>
  <si>
    <t>Destoner Machine</t>
  </si>
  <si>
    <t>Office table</t>
  </si>
  <si>
    <t>Chairs</t>
  </si>
  <si>
    <t>Computer</t>
  </si>
  <si>
    <t>Printer</t>
  </si>
  <si>
    <t>UPS</t>
  </si>
  <si>
    <t>TOTAL (1+2+3+4+5)</t>
  </si>
  <si>
    <t>IT INFRASTRUCTURE</t>
  </si>
  <si>
    <t>PRELIMINARY &amp; PREOPERATIVE EXP</t>
  </si>
  <si>
    <t>Rice silky polisher</t>
  </si>
  <si>
    <t>60% reserved for JW Services</t>
  </si>
  <si>
    <t>40% reserved for Captive operations</t>
  </si>
  <si>
    <t>Total Input (Rice Polishing) (MT)</t>
  </si>
  <si>
    <t>Polished Rice</t>
  </si>
  <si>
    <t>Broken</t>
  </si>
  <si>
    <t>Rice processed per day (MT)</t>
  </si>
  <si>
    <t>Rice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</si>
  <si>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</si>
  <si>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</si>
  <si>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</si>
  <si>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</si>
  <si>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</si>
  <si>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</si>
  <si>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</si>
  <si>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</si>
  <si>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</si>
  <si>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</si>
  <si>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</si>
  <si>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</si>
  <si>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</si>
  <si>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</si>
  <si>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</si>
  <si>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</si>
  <si>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</si>
  <si>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</si>
  <si>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</si>
  <si>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</si>
  <si>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</si>
  <si>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</si>
  <si>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Polishing &amp; Grading Section (including)</t>
  </si>
  <si>
    <t>G</t>
  </si>
  <si>
    <t>Weighing Scale (150 KG Capacity)</t>
  </si>
  <si>
    <t>Automatic Sewing Machine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</si>
  <si>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</si>
  <si>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</si>
  <si>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</si>
  <si>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</si>
  <si>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</si>
  <si>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</si>
  <si>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</si>
  <si>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</si>
  <si>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>Total Input (Rice) (MT)</t>
  </si>
  <si>
    <t>70 KVA (Power chart)</t>
  </si>
  <si>
    <t>Raw Jari</t>
  </si>
  <si>
    <t>Powder</t>
  </si>
  <si>
    <t>Rice polishing (in Rs. Per MT)</t>
  </si>
  <si>
    <t xml:space="preserve">Rice </t>
  </si>
  <si>
    <t>50% capacity reserved</t>
  </si>
  <si>
    <t>with grant</t>
  </si>
  <si>
    <t>without grant</t>
  </si>
  <si>
    <t>Revenue- Service Charges for Rice Polishing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</si>
  <si>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</si>
  <si>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</si>
  <si>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</si>
  <si>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</si>
  <si>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</si>
  <si>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</si>
  <si>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</si>
  <si>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Production- Paddy (MT)</t>
  </si>
  <si>
    <t>Total Production (Paddy)</t>
  </si>
  <si>
    <t>Thus, Rice Production (approx)</t>
  </si>
  <si>
    <t>Marketable Surplus - Rice (70%)</t>
  </si>
  <si>
    <t>Income Tax 30%</t>
  </si>
  <si>
    <t>Present Value Equivalent @ 41.6%</t>
  </si>
  <si>
    <t>Requirement of Project (MT)</t>
  </si>
  <si>
    <t>Civil area for godown (374.08 sqm- 500 MT)</t>
  </si>
  <si>
    <t>7 Yrs 3 month</t>
  </si>
  <si>
    <t>Loss C/f</t>
  </si>
  <si>
    <t>Loss B/f</t>
  </si>
  <si>
    <t>Present Value Equivalent @ 14.14%</t>
  </si>
  <si>
    <t>4 Years 7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</si>
</sst>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164" fontId="9" fillId="0" borderId="1" xfId="1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4" fontId="13" fillId="0" borderId="0" xfId="1" applyFont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3" fillId="0" borderId="0" xfId="0" applyNumberFormat="1" applyFont="1" applyAlignment="1">
      <alignment wrapText="1"/>
    </xf>
    <xf numFmtId="164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/>
    <xf numFmtId="164" fontId="9" fillId="0" borderId="1" xfId="1" applyFont="1" applyFill="1" applyBorder="1"/>
    <xf numFmtId="0" fontId="18" fillId="0" borderId="1" xfId="0" applyFont="1" applyFill="1" applyBorder="1"/>
    <xf numFmtId="164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43" fontId="4" fillId="0" borderId="0" xfId="0" applyNumberFormat="1" applyFont="1" applyFill="1"/>
    <xf numFmtId="2" fontId="4" fillId="0" borderId="0" xfId="0" applyNumberFormat="1" applyFont="1" applyFill="1"/>
    <xf numFmtId="43" fontId="4" fillId="0" borderId="1" xfId="0" applyNumberFormat="1" applyFont="1" applyFill="1" applyBorder="1"/>
    <xf numFmtId="164" fontId="9" fillId="0" borderId="0" xfId="1" applyFont="1" applyFill="1" applyBorder="1"/>
    <xf numFmtId="164" fontId="4" fillId="0" borderId="0" xfId="0" applyNumberFormat="1" applyFont="1" applyFill="1"/>
    <xf numFmtId="164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164" fontId="20" fillId="0" borderId="1" xfId="1" applyFont="1" applyFill="1" applyBorder="1" applyAlignment="1">
      <alignment horizontal="right" wrapText="1"/>
    </xf>
    <xf numFmtId="164" fontId="20" fillId="0" borderId="1" xfId="1" applyFont="1" applyFill="1" applyBorder="1" applyAlignment="1">
      <alignment wrapText="1"/>
    </xf>
    <xf numFmtId="164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164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164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164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166" fontId="9" fillId="0" borderId="1" xfId="0" applyNumberFormat="1" applyFont="1" applyBorder="1" applyAlignment="1">
      <alignment horizontal="right"/>
    </xf>
    <xf numFmtId="0" fontId="0" fillId="0" borderId="1" xfId="0" applyFill="1" applyBorder="1"/>
    <xf numFmtId="9" fontId="2" fillId="0" borderId="1" xfId="0" applyNumberFormat="1" applyFont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wrapText="1"/>
    </xf>
    <xf numFmtId="1" fontId="2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3" fontId="2" fillId="0" borderId="0" xfId="0" applyNumberFormat="1" applyFont="1"/>
    <xf numFmtId="2" fontId="2" fillId="0" borderId="5" xfId="0" applyNumberFormat="1" applyFont="1" applyBorder="1" applyAlignment="1">
      <alignment horizontal="right" vertical="center"/>
    </xf>
    <xf numFmtId="165" fontId="4" fillId="0" borderId="1" xfId="1" applyNumberFormat="1" applyFont="1" applyBorder="1"/>
    <xf numFmtId="9" fontId="0" fillId="0" borderId="0" xfId="0" applyNumberForma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9"/>
  <sheetViews>
    <sheetView view="pageBreakPreview" topLeftCell="A7" zoomScale="70" zoomScaleNormal="100" zoomScaleSheetLayoutView="70" workbookViewId="0">
      <selection activeCell="C31" sqref="C31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16384" width="9.140625" style="1"/>
  </cols>
  <sheetData>
    <row r="6" spans="1:5" ht="45" customHeight="1" x14ac:dyDescent="0.25">
      <c r="A6" s="142" t="s">
        <v>405</v>
      </c>
      <c r="B6" s="142" t="s">
        <v>406</v>
      </c>
      <c r="C6" s="143" t="s">
        <v>407</v>
      </c>
    </row>
    <row r="7" spans="1:5" x14ac:dyDescent="0.25">
      <c r="A7" s="142">
        <v>1</v>
      </c>
      <c r="B7" s="144" t="s">
        <v>408</v>
      </c>
      <c r="C7" s="265">
        <v>57.6</v>
      </c>
    </row>
    <row r="8" spans="1:5" x14ac:dyDescent="0.25">
      <c r="A8" s="145"/>
      <c r="B8" s="146" t="s">
        <v>648</v>
      </c>
      <c r="C8" s="284"/>
    </row>
    <row r="9" spans="1:5" x14ac:dyDescent="0.25">
      <c r="A9" s="145" t="s">
        <v>79</v>
      </c>
      <c r="B9" s="147" t="s">
        <v>409</v>
      </c>
      <c r="C9" s="284"/>
    </row>
    <row r="10" spans="1:5" x14ac:dyDescent="0.25">
      <c r="A10" s="145" t="s">
        <v>84</v>
      </c>
      <c r="B10" s="147" t="s">
        <v>410</v>
      </c>
      <c r="C10" s="284"/>
    </row>
    <row r="11" spans="1:5" x14ac:dyDescent="0.25">
      <c r="A11" s="145" t="s">
        <v>85</v>
      </c>
      <c r="B11" s="147" t="s">
        <v>616</v>
      </c>
      <c r="C11" s="284"/>
    </row>
    <row r="12" spans="1:5" x14ac:dyDescent="0.25">
      <c r="A12" s="145" t="s">
        <v>411</v>
      </c>
      <c r="B12" s="147" t="s">
        <v>568</v>
      </c>
      <c r="C12" s="284"/>
    </row>
    <row r="13" spans="1:5" x14ac:dyDescent="0.25">
      <c r="A13" s="142">
        <v>2</v>
      </c>
      <c r="B13" s="144" t="s">
        <v>612</v>
      </c>
      <c r="C13" s="265">
        <f>((2284000+10030+9322)/100000)</f>
        <v>23.033519999999999</v>
      </c>
      <c r="E13" s="278"/>
    </row>
    <row r="14" spans="1:5" x14ac:dyDescent="0.25">
      <c r="A14" s="145" t="s">
        <v>79</v>
      </c>
      <c r="B14" s="147" t="s">
        <v>569</v>
      </c>
      <c r="C14" s="285"/>
    </row>
    <row r="15" spans="1:5" x14ac:dyDescent="0.25">
      <c r="A15" s="145" t="s">
        <v>84</v>
      </c>
      <c r="B15" s="147" t="s">
        <v>570</v>
      </c>
      <c r="C15" s="286"/>
    </row>
    <row r="16" spans="1:5" x14ac:dyDescent="0.25">
      <c r="A16" s="145" t="s">
        <v>85</v>
      </c>
      <c r="B16" s="6" t="s">
        <v>571</v>
      </c>
      <c r="C16" s="286"/>
    </row>
    <row r="17" spans="1:3" x14ac:dyDescent="0.25">
      <c r="A17" s="145" t="s">
        <v>411</v>
      </c>
      <c r="B17" s="6" t="s">
        <v>572</v>
      </c>
      <c r="C17" s="286"/>
    </row>
    <row r="18" spans="1:3" x14ac:dyDescent="0.25">
      <c r="A18" s="145" t="s">
        <v>412</v>
      </c>
      <c r="B18" s="6" t="s">
        <v>573</v>
      </c>
      <c r="C18" s="286"/>
    </row>
    <row r="19" spans="1:3" x14ac:dyDescent="0.25">
      <c r="A19" s="254" t="s">
        <v>413</v>
      </c>
      <c r="B19" s="6" t="s">
        <v>614</v>
      </c>
      <c r="C19" s="286"/>
    </row>
    <row r="20" spans="1:3" x14ac:dyDescent="0.25">
      <c r="A20" s="254" t="s">
        <v>613</v>
      </c>
      <c r="B20" s="6" t="s">
        <v>615</v>
      </c>
      <c r="C20" s="287"/>
    </row>
    <row r="21" spans="1:3" x14ac:dyDescent="0.25">
      <c r="A21" s="142">
        <v>3</v>
      </c>
      <c r="B21" s="144" t="s">
        <v>617</v>
      </c>
      <c r="C21" s="265">
        <v>0</v>
      </c>
    </row>
    <row r="22" spans="1:3" x14ac:dyDescent="0.25">
      <c r="A22" s="145" t="s">
        <v>79</v>
      </c>
      <c r="B22" s="147" t="s">
        <v>574</v>
      </c>
      <c r="C22" s="284"/>
    </row>
    <row r="23" spans="1:3" x14ac:dyDescent="0.25">
      <c r="A23" s="145" t="s">
        <v>84</v>
      </c>
      <c r="B23" s="147" t="s">
        <v>575</v>
      </c>
      <c r="C23" s="284"/>
    </row>
    <row r="24" spans="1:3" x14ac:dyDescent="0.25">
      <c r="A24" s="142">
        <v>4</v>
      </c>
      <c r="B24" s="144" t="s">
        <v>580</v>
      </c>
      <c r="C24" s="265">
        <v>0</v>
      </c>
    </row>
    <row r="25" spans="1:3" x14ac:dyDescent="0.25">
      <c r="A25" s="43" t="s">
        <v>79</v>
      </c>
      <c r="B25" s="147" t="s">
        <v>576</v>
      </c>
      <c r="C25" s="285"/>
    </row>
    <row r="26" spans="1:3" x14ac:dyDescent="0.25">
      <c r="A26" s="43" t="s">
        <v>84</v>
      </c>
      <c r="B26" s="147" t="s">
        <v>577</v>
      </c>
      <c r="C26" s="286"/>
    </row>
    <row r="27" spans="1:3" x14ac:dyDescent="0.25">
      <c r="A27" s="43" t="s">
        <v>85</v>
      </c>
      <c r="B27" s="147" t="s">
        <v>578</v>
      </c>
      <c r="C27" s="287"/>
    </row>
    <row r="28" spans="1:3" x14ac:dyDescent="0.25">
      <c r="A28" s="142">
        <v>5</v>
      </c>
      <c r="B28" s="144" t="s">
        <v>581</v>
      </c>
      <c r="C28" s="265">
        <f>+(C7+C13)*5%</f>
        <v>4.031676</v>
      </c>
    </row>
    <row r="29" spans="1:3" x14ac:dyDescent="0.25">
      <c r="A29" s="145"/>
      <c r="B29" s="148" t="s">
        <v>579</v>
      </c>
      <c r="C29" s="265">
        <f>SUM(C7,C13,C21,C24,C28)</f>
        <v>84.665196000000009</v>
      </c>
    </row>
    <row r="30" spans="1:3" x14ac:dyDescent="0.25">
      <c r="A30" s="149"/>
      <c r="B30" s="150"/>
      <c r="C30" s="151"/>
    </row>
    <row r="31" spans="1:3" x14ac:dyDescent="0.25">
      <c r="A31" s="149"/>
      <c r="B31" s="152" t="s">
        <v>618</v>
      </c>
      <c r="C31" s="279">
        <f>+'WC Assessment'!C13</f>
        <v>5.193854841666667</v>
      </c>
    </row>
    <row r="32" spans="1:3" x14ac:dyDescent="0.25">
      <c r="A32" s="282"/>
      <c r="B32" s="283"/>
      <c r="C32" s="153"/>
    </row>
    <row r="33" spans="1:3" x14ac:dyDescent="0.25">
      <c r="A33" s="142"/>
      <c r="B33" s="154"/>
      <c r="C33" s="142"/>
    </row>
    <row r="34" spans="1:3" x14ac:dyDescent="0.25">
      <c r="A34" s="155"/>
      <c r="B34" s="156"/>
      <c r="C34" s="155"/>
    </row>
    <row r="35" spans="1:3" x14ac:dyDescent="0.25">
      <c r="A35" s="157"/>
      <c r="B35" s="158"/>
      <c r="C35" s="157"/>
    </row>
    <row r="36" spans="1:3" x14ac:dyDescent="0.25">
      <c r="A36" s="155"/>
      <c r="B36" s="159"/>
      <c r="C36" s="155"/>
    </row>
    <row r="37" spans="1:3" x14ac:dyDescent="0.25">
      <c r="A37" s="155"/>
      <c r="B37" s="160"/>
      <c r="C37" s="161"/>
    </row>
    <row r="38" spans="1:3" x14ac:dyDescent="0.25">
      <c r="A38" s="23"/>
      <c r="B38" s="23"/>
      <c r="C38" s="23"/>
    </row>
    <row r="39" spans="1:3" x14ac:dyDescent="0.25">
      <c r="A39" s="23"/>
      <c r="B39" s="141"/>
      <c r="C39" s="23"/>
    </row>
  </sheetData>
  <mergeCells count="5">
    <mergeCell ref="A32:B32"/>
    <mergeCell ref="C8:C12"/>
    <mergeCell ref="C22:C23"/>
    <mergeCell ref="C25:C27"/>
    <mergeCell ref="C14:C20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view="pageBreakPreview" topLeftCell="A46" zoomScale="60" zoomScaleNormal="100" workbookViewId="0">
      <selection activeCell="A2" sqref="A2:L46"/>
    </sheetView>
  </sheetViews>
  <sheetFormatPr defaultRowHeight="15" x14ac:dyDescent="0.25"/>
  <cols>
    <col min="1" max="1" width="4" style="1" bestFit="1" customWidth="1"/>
    <col min="2" max="2" width="44.85546875" style="1" bestFit="1" customWidth="1"/>
    <col min="3" max="8" width="12.28515625" style="1" bestFit="1" customWidth="1"/>
    <col min="9" max="9" width="11.85546875" style="1" bestFit="1" customWidth="1"/>
    <col min="10" max="12" width="12.28515625" style="1" bestFit="1" customWidth="1"/>
    <col min="13" max="16384" width="9.140625" style="1"/>
  </cols>
  <sheetData>
    <row r="2" spans="1:12" x14ac:dyDescent="0.25">
      <c r="A2" s="46" t="s">
        <v>77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22" t="s">
        <v>42</v>
      </c>
      <c r="J2" s="222" t="s">
        <v>505</v>
      </c>
      <c r="K2" s="222" t="s">
        <v>506</v>
      </c>
      <c r="L2" s="222" t="s">
        <v>507</v>
      </c>
    </row>
    <row r="3" spans="1:12" x14ac:dyDescent="0.25">
      <c r="A3" s="43"/>
      <c r="B3" s="26" t="s">
        <v>78</v>
      </c>
      <c r="C3" s="27"/>
      <c r="D3" s="27"/>
      <c r="E3" s="27"/>
      <c r="F3" s="27"/>
      <c r="G3" s="27"/>
      <c r="H3" s="27"/>
      <c r="I3" s="220"/>
      <c r="J3" s="6"/>
      <c r="K3" s="6"/>
      <c r="L3" s="6"/>
    </row>
    <row r="4" spans="1:12" x14ac:dyDescent="0.25">
      <c r="A4" s="7" t="s">
        <v>79</v>
      </c>
      <c r="B4" s="26" t="str">
        <f>'Output Schedule'!A27</f>
        <v>Polished Rice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80</v>
      </c>
      <c r="C5" s="36">
        <f>0</f>
        <v>0</v>
      </c>
      <c r="D5" s="36">
        <f>C8</f>
        <v>47</v>
      </c>
      <c r="E5" s="36">
        <f>D8</f>
        <v>53</v>
      </c>
      <c r="F5" s="36">
        <f>E8</f>
        <v>58</v>
      </c>
      <c r="G5" s="36">
        <f>F8</f>
        <v>64</v>
      </c>
      <c r="H5" s="36">
        <f t="shared" ref="H5:I5" si="0">G8</f>
        <v>70</v>
      </c>
      <c r="I5" s="36">
        <f t="shared" si="0"/>
        <v>76</v>
      </c>
      <c r="J5" s="36">
        <f t="shared" ref="J5" si="1">I8</f>
        <v>82</v>
      </c>
      <c r="K5" s="36">
        <f t="shared" ref="K5" si="2">J8</f>
        <v>88</v>
      </c>
      <c r="L5" s="36">
        <f t="shared" ref="L5" si="3">K8</f>
        <v>88</v>
      </c>
    </row>
    <row r="6" spans="1:12" x14ac:dyDescent="0.25">
      <c r="A6" s="43"/>
      <c r="B6" s="36" t="s">
        <v>81</v>
      </c>
      <c r="C6" s="37">
        <f>'Output Schedule'!B27</f>
        <v>1122</v>
      </c>
      <c r="D6" s="37">
        <f>'Output Schedule'!C27</f>
        <v>1262</v>
      </c>
      <c r="E6" s="37">
        <f>'Output Schedule'!D27</f>
        <v>1403</v>
      </c>
      <c r="F6" s="37">
        <f>'Output Schedule'!E27</f>
        <v>1543</v>
      </c>
      <c r="G6" s="37">
        <f>'Output Schedule'!F27</f>
        <v>1683</v>
      </c>
      <c r="H6" s="37">
        <f>'Output Schedule'!G27</f>
        <v>1823</v>
      </c>
      <c r="I6" s="37">
        <f>'Output Schedule'!H27</f>
        <v>1964</v>
      </c>
      <c r="J6" s="37">
        <f>'Output Schedule'!I27</f>
        <v>2104</v>
      </c>
      <c r="K6" s="37">
        <f>'Output Schedule'!J27</f>
        <v>2104</v>
      </c>
      <c r="L6" s="37">
        <f>'Output Schedule'!K27</f>
        <v>2244</v>
      </c>
    </row>
    <row r="7" spans="1:12" x14ac:dyDescent="0.25">
      <c r="A7" s="43"/>
      <c r="B7" s="36" t="s">
        <v>82</v>
      </c>
      <c r="C7" s="36">
        <f>C5+C6-C8</f>
        <v>1075</v>
      </c>
      <c r="D7" s="36">
        <f>D5+D6-D8</f>
        <v>1256</v>
      </c>
      <c r="E7" s="36">
        <f>E5+E6-E8</f>
        <v>1398</v>
      </c>
      <c r="F7" s="36">
        <f>F5+F6-F8</f>
        <v>1537</v>
      </c>
      <c r="G7" s="36">
        <f>G5+G6-G8</f>
        <v>1677</v>
      </c>
      <c r="H7" s="36">
        <f t="shared" ref="H7:I7" si="4">H5+H6-H8</f>
        <v>1817</v>
      </c>
      <c r="I7" s="36">
        <f t="shared" si="4"/>
        <v>1958</v>
      </c>
      <c r="J7" s="36">
        <f t="shared" ref="J7:L7" si="5">J5+J6-J8</f>
        <v>2098</v>
      </c>
      <c r="K7" s="36">
        <f t="shared" si="5"/>
        <v>2104</v>
      </c>
      <c r="L7" s="36">
        <f t="shared" si="5"/>
        <v>2238</v>
      </c>
    </row>
    <row r="8" spans="1:12" x14ac:dyDescent="0.25">
      <c r="A8" s="43"/>
      <c r="B8" s="36" t="s">
        <v>83</v>
      </c>
      <c r="C8" s="36">
        <f>ROUND(C6/24,0)</f>
        <v>47</v>
      </c>
      <c r="D8" s="36">
        <f t="shared" ref="D8:I8" si="6">ROUND(D6/24,0)</f>
        <v>53</v>
      </c>
      <c r="E8" s="36">
        <f t="shared" si="6"/>
        <v>58</v>
      </c>
      <c r="F8" s="36">
        <f t="shared" si="6"/>
        <v>64</v>
      </c>
      <c r="G8" s="36">
        <f t="shared" si="6"/>
        <v>70</v>
      </c>
      <c r="H8" s="36">
        <f t="shared" si="6"/>
        <v>76</v>
      </c>
      <c r="I8" s="36">
        <f t="shared" si="6"/>
        <v>82</v>
      </c>
      <c r="J8" s="36">
        <f t="shared" ref="J8:L8" si="7">ROUND(J6/24,0)</f>
        <v>88</v>
      </c>
      <c r="K8" s="36">
        <f t="shared" si="7"/>
        <v>88</v>
      </c>
      <c r="L8" s="36">
        <f t="shared" si="7"/>
        <v>94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84</v>
      </c>
      <c r="B10" s="8" t="str">
        <f>+'Output Schedule'!A28</f>
        <v>Raw Jari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80</v>
      </c>
      <c r="C11" s="36">
        <f>0</f>
        <v>0</v>
      </c>
      <c r="D11" s="36">
        <f>C14</f>
        <v>1</v>
      </c>
      <c r="E11" s="36">
        <f>D14</f>
        <v>1</v>
      </c>
      <c r="F11" s="36">
        <f>E14</f>
        <v>1</v>
      </c>
      <c r="G11" s="36">
        <f>F14</f>
        <v>1</v>
      </c>
      <c r="H11" s="36">
        <f t="shared" ref="H11:I11" si="8">G14</f>
        <v>1</v>
      </c>
      <c r="I11" s="36">
        <f t="shared" si="8"/>
        <v>1</v>
      </c>
      <c r="J11" s="36">
        <f t="shared" ref="J11" si="9">I14</f>
        <v>1</v>
      </c>
      <c r="K11" s="36">
        <f t="shared" ref="K11" si="10">J14</f>
        <v>1</v>
      </c>
      <c r="L11" s="36">
        <f t="shared" ref="L11" si="11">K14</f>
        <v>1</v>
      </c>
    </row>
    <row r="12" spans="1:12" x14ac:dyDescent="0.25">
      <c r="A12" s="6"/>
      <c r="B12" s="36" t="s">
        <v>81</v>
      </c>
      <c r="C12" s="37">
        <f>'Output Schedule'!B28</f>
        <v>18</v>
      </c>
      <c r="D12" s="37">
        <f>'Output Schedule'!C28</f>
        <v>20</v>
      </c>
      <c r="E12" s="37">
        <f>'Output Schedule'!D28</f>
        <v>23</v>
      </c>
      <c r="F12" s="37">
        <f>'Output Schedule'!E28</f>
        <v>25</v>
      </c>
      <c r="G12" s="37">
        <f>'Output Schedule'!F28</f>
        <v>27</v>
      </c>
      <c r="H12" s="37">
        <f>'Output Schedule'!G28</f>
        <v>29</v>
      </c>
      <c r="I12" s="37">
        <f>'Output Schedule'!H28</f>
        <v>32</v>
      </c>
      <c r="J12" s="37">
        <f>'Output Schedule'!I28</f>
        <v>34</v>
      </c>
      <c r="K12" s="37">
        <f>'Output Schedule'!J28</f>
        <v>34</v>
      </c>
      <c r="L12" s="37">
        <f>'Output Schedule'!K28</f>
        <v>36</v>
      </c>
    </row>
    <row r="13" spans="1:12" x14ac:dyDescent="0.25">
      <c r="A13" s="6"/>
      <c r="B13" s="36" t="s">
        <v>82</v>
      </c>
      <c r="C13" s="36">
        <f>C11+C12-C14</f>
        <v>17</v>
      </c>
      <c r="D13" s="36">
        <f>D11+D12-D14</f>
        <v>20</v>
      </c>
      <c r="E13" s="36">
        <f>E11+E12-E14</f>
        <v>23</v>
      </c>
      <c r="F13" s="36">
        <f>F11+F12-F14</f>
        <v>25</v>
      </c>
      <c r="G13" s="36">
        <f>G11+G12-G14</f>
        <v>27</v>
      </c>
      <c r="H13" s="36">
        <f t="shared" ref="H13:I13" si="12">H11+H12-H14</f>
        <v>29</v>
      </c>
      <c r="I13" s="36">
        <f t="shared" si="12"/>
        <v>32</v>
      </c>
      <c r="J13" s="36">
        <f t="shared" ref="J13:L13" si="13">J11+J12-J14</f>
        <v>34</v>
      </c>
      <c r="K13" s="36">
        <f t="shared" si="13"/>
        <v>34</v>
      </c>
      <c r="L13" s="36">
        <f t="shared" si="13"/>
        <v>35</v>
      </c>
    </row>
    <row r="14" spans="1:12" x14ac:dyDescent="0.25">
      <c r="A14" s="6"/>
      <c r="B14" s="36" t="s">
        <v>83</v>
      </c>
      <c r="C14" s="36">
        <f>ROUND(C12/24,0)</f>
        <v>1</v>
      </c>
      <c r="D14" s="36">
        <f t="shared" ref="D14:I14" si="14">ROUND(D12/24,0)</f>
        <v>1</v>
      </c>
      <c r="E14" s="36">
        <f t="shared" si="14"/>
        <v>1</v>
      </c>
      <c r="F14" s="36">
        <f t="shared" si="14"/>
        <v>1</v>
      </c>
      <c r="G14" s="36">
        <f t="shared" si="14"/>
        <v>1</v>
      </c>
      <c r="H14" s="36">
        <f t="shared" si="14"/>
        <v>1</v>
      </c>
      <c r="I14" s="36">
        <f t="shared" si="14"/>
        <v>1</v>
      </c>
      <c r="J14" s="36">
        <f t="shared" ref="J14:L14" si="15">ROUND(J12/24,0)</f>
        <v>1</v>
      </c>
      <c r="K14" s="36">
        <f t="shared" si="15"/>
        <v>1</v>
      </c>
      <c r="L14" s="36">
        <f t="shared" si="15"/>
        <v>2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 t="s">
        <v>85</v>
      </c>
      <c r="B16" s="26" t="str">
        <f>'Output Schedule'!A29</f>
        <v>Broken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x14ac:dyDescent="0.25">
      <c r="A17" s="6"/>
      <c r="B17" s="36" t="s">
        <v>80</v>
      </c>
      <c r="C17" s="36">
        <f>0</f>
        <v>0</v>
      </c>
      <c r="D17" s="36">
        <f>C20</f>
        <v>2</v>
      </c>
      <c r="E17" s="36">
        <f>D20</f>
        <v>1</v>
      </c>
      <c r="F17" s="36">
        <f>E20</f>
        <v>1</v>
      </c>
      <c r="G17" s="36">
        <f>F20</f>
        <v>1</v>
      </c>
      <c r="H17" s="36">
        <f t="shared" ref="H17:I17" si="16">G20</f>
        <v>2</v>
      </c>
      <c r="I17" s="36">
        <f t="shared" si="16"/>
        <v>2</v>
      </c>
      <c r="J17" s="36">
        <f t="shared" ref="J17" si="17">I20</f>
        <v>2</v>
      </c>
      <c r="K17" s="36">
        <f t="shared" ref="K17" si="18">J20</f>
        <v>2</v>
      </c>
      <c r="L17" s="36">
        <f t="shared" ref="L17" si="19">K20</f>
        <v>2</v>
      </c>
    </row>
    <row r="18" spans="1:12" x14ac:dyDescent="0.25">
      <c r="A18" s="6"/>
      <c r="B18" s="36" t="s">
        <v>81</v>
      </c>
      <c r="C18" s="37">
        <f>'Output Schedule'!B29</f>
        <v>36</v>
      </c>
      <c r="D18" s="37">
        <f>'Output Schedule'!C30</f>
        <v>27</v>
      </c>
      <c r="E18" s="37">
        <f>'Output Schedule'!D30</f>
        <v>30</v>
      </c>
      <c r="F18" s="37">
        <f>'Output Schedule'!E30</f>
        <v>33</v>
      </c>
      <c r="G18" s="37">
        <f>'Output Schedule'!F30</f>
        <v>36</v>
      </c>
      <c r="H18" s="37">
        <f>'Output Schedule'!G30</f>
        <v>39</v>
      </c>
      <c r="I18" s="37">
        <f>'Output Schedule'!H30</f>
        <v>42</v>
      </c>
      <c r="J18" s="37">
        <f>'Output Schedule'!I30</f>
        <v>45</v>
      </c>
      <c r="K18" s="37">
        <f>'Output Schedule'!J30</f>
        <v>45</v>
      </c>
      <c r="L18" s="37">
        <f>'Output Schedule'!K30</f>
        <v>48</v>
      </c>
    </row>
    <row r="19" spans="1:12" x14ac:dyDescent="0.25">
      <c r="A19" s="6"/>
      <c r="B19" s="36" t="s">
        <v>82</v>
      </c>
      <c r="C19" s="36">
        <f>C17+C18-C20</f>
        <v>34</v>
      </c>
      <c r="D19" s="36">
        <f>D17+D18-D20</f>
        <v>28</v>
      </c>
      <c r="E19" s="36">
        <f>E17+E18-E20</f>
        <v>30</v>
      </c>
      <c r="F19" s="36">
        <f>F17+F18-F20</f>
        <v>33</v>
      </c>
      <c r="G19" s="36">
        <f>G17+G18-G20</f>
        <v>35</v>
      </c>
      <c r="H19" s="36">
        <f t="shared" ref="H19:I19" si="20">H17+H18-H20</f>
        <v>39</v>
      </c>
      <c r="I19" s="36">
        <f t="shared" si="20"/>
        <v>42</v>
      </c>
      <c r="J19" s="36">
        <f t="shared" ref="J19:L19" si="21">J17+J18-J20</f>
        <v>45</v>
      </c>
      <c r="K19" s="36">
        <f t="shared" si="21"/>
        <v>45</v>
      </c>
      <c r="L19" s="36">
        <f t="shared" si="21"/>
        <v>48</v>
      </c>
    </row>
    <row r="20" spans="1:12" x14ac:dyDescent="0.25">
      <c r="A20" s="6"/>
      <c r="B20" s="36" t="s">
        <v>83</v>
      </c>
      <c r="C20" s="36">
        <f>ROUND(C18/24,0)</f>
        <v>2</v>
      </c>
      <c r="D20" s="36">
        <f t="shared" ref="D20:I20" si="22">ROUND(D18/24,0)</f>
        <v>1</v>
      </c>
      <c r="E20" s="36">
        <f t="shared" si="22"/>
        <v>1</v>
      </c>
      <c r="F20" s="36">
        <f t="shared" si="22"/>
        <v>1</v>
      </c>
      <c r="G20" s="36">
        <f t="shared" si="22"/>
        <v>2</v>
      </c>
      <c r="H20" s="36">
        <f t="shared" si="22"/>
        <v>2</v>
      </c>
      <c r="I20" s="36">
        <f t="shared" si="22"/>
        <v>2</v>
      </c>
      <c r="J20" s="36">
        <f t="shared" ref="J20:L20" si="23">ROUND(J18/24,0)</f>
        <v>2</v>
      </c>
      <c r="K20" s="36">
        <f t="shared" si="23"/>
        <v>2</v>
      </c>
      <c r="L20" s="36">
        <f t="shared" si="23"/>
        <v>2</v>
      </c>
    </row>
    <row r="21" spans="1:12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5">
      <c r="A22" s="264" t="s">
        <v>411</v>
      </c>
      <c r="B22" s="26" t="str">
        <f>'Output Schedule'!A30</f>
        <v>Powder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x14ac:dyDescent="0.25">
      <c r="A23" s="6"/>
      <c r="B23" s="36" t="s">
        <v>80</v>
      </c>
      <c r="C23" s="36">
        <f>0</f>
        <v>0</v>
      </c>
      <c r="D23" s="36">
        <f>C26</f>
        <v>1</v>
      </c>
      <c r="E23" s="36">
        <f>D26</f>
        <v>1</v>
      </c>
      <c r="F23" s="36">
        <f>E26</f>
        <v>1</v>
      </c>
      <c r="G23" s="36">
        <f>F26</f>
        <v>1</v>
      </c>
      <c r="H23" s="36">
        <f t="shared" ref="H23" si="24">G26</f>
        <v>2</v>
      </c>
      <c r="I23" s="36">
        <f t="shared" ref="I23" si="25">H26</f>
        <v>2</v>
      </c>
      <c r="J23" s="36">
        <f t="shared" ref="J23" si="26">I26</f>
        <v>2</v>
      </c>
      <c r="K23" s="36">
        <f t="shared" ref="K23" si="27">J26</f>
        <v>2</v>
      </c>
      <c r="L23" s="36">
        <f t="shared" ref="L23" si="28">K26</f>
        <v>2</v>
      </c>
    </row>
    <row r="24" spans="1:12" x14ac:dyDescent="0.25">
      <c r="A24" s="6"/>
      <c r="B24" s="36" t="s">
        <v>81</v>
      </c>
      <c r="C24" s="37">
        <f>'Output Schedule'!B30</f>
        <v>24</v>
      </c>
      <c r="D24" s="37">
        <f>'Output Schedule'!C30</f>
        <v>27</v>
      </c>
      <c r="E24" s="37">
        <f>'Output Schedule'!D30</f>
        <v>30</v>
      </c>
      <c r="F24" s="37">
        <f>'Output Schedule'!E30</f>
        <v>33</v>
      </c>
      <c r="G24" s="37">
        <f>'Output Schedule'!F30</f>
        <v>36</v>
      </c>
      <c r="H24" s="37">
        <f>'Output Schedule'!G30</f>
        <v>39</v>
      </c>
      <c r="I24" s="37">
        <f>'Output Schedule'!H30</f>
        <v>42</v>
      </c>
      <c r="J24" s="37">
        <f>'Output Schedule'!I30</f>
        <v>45</v>
      </c>
      <c r="K24" s="37">
        <f>'Output Schedule'!J30</f>
        <v>45</v>
      </c>
      <c r="L24" s="37">
        <f>'Output Schedule'!K30</f>
        <v>48</v>
      </c>
    </row>
    <row r="25" spans="1:12" x14ac:dyDescent="0.25">
      <c r="A25" s="6"/>
      <c r="B25" s="36" t="s">
        <v>82</v>
      </c>
      <c r="C25" s="36">
        <f>C23+C24-C26</f>
        <v>23</v>
      </c>
      <c r="D25" s="36">
        <f>D23+D24-D26</f>
        <v>27</v>
      </c>
      <c r="E25" s="36">
        <f>E23+E24-E26</f>
        <v>30</v>
      </c>
      <c r="F25" s="36">
        <f>F23+F24-F26</f>
        <v>33</v>
      </c>
      <c r="G25" s="36">
        <f>G23+G24-G26</f>
        <v>35</v>
      </c>
      <c r="H25" s="36">
        <f t="shared" ref="H25:L25" si="29">H23+H24-H26</f>
        <v>39</v>
      </c>
      <c r="I25" s="36">
        <f t="shared" si="29"/>
        <v>42</v>
      </c>
      <c r="J25" s="36">
        <f t="shared" si="29"/>
        <v>45</v>
      </c>
      <c r="K25" s="36">
        <f t="shared" si="29"/>
        <v>45</v>
      </c>
      <c r="L25" s="36">
        <f t="shared" si="29"/>
        <v>48</v>
      </c>
    </row>
    <row r="26" spans="1:12" x14ac:dyDescent="0.25">
      <c r="A26" s="6"/>
      <c r="B26" s="36" t="s">
        <v>83</v>
      </c>
      <c r="C26" s="36">
        <f>ROUND(C24/24,0)</f>
        <v>1</v>
      </c>
      <c r="D26" s="36">
        <f t="shared" ref="D26:L26" si="30">ROUND(D24/24,0)</f>
        <v>1</v>
      </c>
      <c r="E26" s="36">
        <f t="shared" si="30"/>
        <v>1</v>
      </c>
      <c r="F26" s="36">
        <f t="shared" si="30"/>
        <v>1</v>
      </c>
      <c r="G26" s="36">
        <f t="shared" si="30"/>
        <v>2</v>
      </c>
      <c r="H26" s="36">
        <f t="shared" si="30"/>
        <v>2</v>
      </c>
      <c r="I26" s="36">
        <f t="shared" si="30"/>
        <v>2</v>
      </c>
      <c r="J26" s="36">
        <f t="shared" si="30"/>
        <v>2</v>
      </c>
      <c r="K26" s="36">
        <f t="shared" si="30"/>
        <v>2</v>
      </c>
      <c r="L26" s="36">
        <f t="shared" si="30"/>
        <v>2</v>
      </c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26" t="s">
        <v>86</v>
      </c>
      <c r="C28" s="3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43" t="s">
        <v>79</v>
      </c>
      <c r="B29" s="33" t="str">
        <f>+B4</f>
        <v>Polished Rice</v>
      </c>
      <c r="C29" s="42">
        <v>50000</v>
      </c>
      <c r="D29" s="45">
        <f>ROUND(C29*1.05,-1)</f>
        <v>52500</v>
      </c>
      <c r="E29" s="45">
        <f t="shared" ref="E29:L29" si="31">ROUND(D29*1.05,-1)</f>
        <v>55130</v>
      </c>
      <c r="F29" s="45">
        <f t="shared" si="31"/>
        <v>57890</v>
      </c>
      <c r="G29" s="45">
        <f t="shared" si="31"/>
        <v>60780</v>
      </c>
      <c r="H29" s="45">
        <f t="shared" si="31"/>
        <v>63820</v>
      </c>
      <c r="I29" s="45">
        <f t="shared" si="31"/>
        <v>67010</v>
      </c>
      <c r="J29" s="45">
        <f t="shared" si="31"/>
        <v>70360</v>
      </c>
      <c r="K29" s="45">
        <f t="shared" si="31"/>
        <v>73880</v>
      </c>
      <c r="L29" s="45">
        <f t="shared" si="31"/>
        <v>77570</v>
      </c>
    </row>
    <row r="30" spans="1:12" x14ac:dyDescent="0.25">
      <c r="A30" s="43" t="s">
        <v>84</v>
      </c>
      <c r="B30" s="33" t="str">
        <f>B10</f>
        <v>Raw Jari</v>
      </c>
      <c r="C30" s="42">
        <v>14000</v>
      </c>
      <c r="D30" s="45">
        <f>ROUND(C30*1.05,-1)</f>
        <v>14700</v>
      </c>
      <c r="E30" s="45">
        <f t="shared" ref="E30:L30" si="32">ROUND(D30*1.05,-1)</f>
        <v>15440</v>
      </c>
      <c r="F30" s="45">
        <f t="shared" si="32"/>
        <v>16210</v>
      </c>
      <c r="G30" s="45">
        <f t="shared" si="32"/>
        <v>17020</v>
      </c>
      <c r="H30" s="45">
        <f t="shared" si="32"/>
        <v>17870</v>
      </c>
      <c r="I30" s="45">
        <f t="shared" si="32"/>
        <v>18760</v>
      </c>
      <c r="J30" s="45">
        <f t="shared" si="32"/>
        <v>19700</v>
      </c>
      <c r="K30" s="45">
        <f t="shared" si="32"/>
        <v>20690</v>
      </c>
      <c r="L30" s="45">
        <f t="shared" si="32"/>
        <v>21720</v>
      </c>
    </row>
    <row r="31" spans="1:12" x14ac:dyDescent="0.25">
      <c r="A31" s="43" t="s">
        <v>85</v>
      </c>
      <c r="B31" s="33" t="str">
        <f>B16</f>
        <v>Broken</v>
      </c>
      <c r="C31" s="42">
        <v>25000</v>
      </c>
      <c r="D31" s="45">
        <f>ROUND(C31*1.05,-1)</f>
        <v>26250</v>
      </c>
      <c r="E31" s="45">
        <f t="shared" ref="E31:L31" si="33">ROUND(D31*1.05,-1)</f>
        <v>27560</v>
      </c>
      <c r="F31" s="45">
        <f t="shared" si="33"/>
        <v>28940</v>
      </c>
      <c r="G31" s="45">
        <f t="shared" si="33"/>
        <v>30390</v>
      </c>
      <c r="H31" s="45">
        <f t="shared" si="33"/>
        <v>31910</v>
      </c>
      <c r="I31" s="45">
        <f t="shared" si="33"/>
        <v>33510</v>
      </c>
      <c r="J31" s="45">
        <f t="shared" si="33"/>
        <v>35190</v>
      </c>
      <c r="K31" s="45">
        <f t="shared" si="33"/>
        <v>36950</v>
      </c>
      <c r="L31" s="45">
        <f t="shared" si="33"/>
        <v>38800</v>
      </c>
    </row>
    <row r="32" spans="1:12" x14ac:dyDescent="0.25">
      <c r="A32" s="43" t="s">
        <v>411</v>
      </c>
      <c r="B32" s="33" t="str">
        <f>B22</f>
        <v>Powder</v>
      </c>
      <c r="C32" s="42">
        <v>12000</v>
      </c>
      <c r="D32" s="45">
        <f>ROUND(C32*1.05,-1)</f>
        <v>12600</v>
      </c>
      <c r="E32" s="45">
        <f t="shared" ref="E32:L32" si="34">ROUND(D32*1.05,-1)</f>
        <v>13230</v>
      </c>
      <c r="F32" s="45">
        <f t="shared" si="34"/>
        <v>13890</v>
      </c>
      <c r="G32" s="45">
        <f t="shared" si="34"/>
        <v>14580</v>
      </c>
      <c r="H32" s="45">
        <f t="shared" si="34"/>
        <v>15310</v>
      </c>
      <c r="I32" s="45">
        <f t="shared" si="34"/>
        <v>16080</v>
      </c>
      <c r="J32" s="45">
        <f t="shared" si="34"/>
        <v>16880</v>
      </c>
      <c r="K32" s="45">
        <f t="shared" si="34"/>
        <v>17720</v>
      </c>
      <c r="L32" s="45">
        <f t="shared" si="34"/>
        <v>18610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8" t="s">
        <v>79</v>
      </c>
      <c r="B34" s="8" t="str">
        <f>B29</f>
        <v>Polished Rice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36" t="s">
        <v>71</v>
      </c>
      <c r="C35" s="42">
        <v>0</v>
      </c>
      <c r="D35" s="42">
        <f>C36</f>
        <v>23.5</v>
      </c>
      <c r="E35" s="42">
        <f>D36</f>
        <v>27.824999999999999</v>
      </c>
      <c r="F35" s="42">
        <f t="shared" ref="F35:I35" si="35">E36</f>
        <v>31.9754</v>
      </c>
      <c r="G35" s="42">
        <f t="shared" si="35"/>
        <v>37.049599999999998</v>
      </c>
      <c r="H35" s="42">
        <f t="shared" si="35"/>
        <v>42.545999999999999</v>
      </c>
      <c r="I35" s="42">
        <f t="shared" si="35"/>
        <v>48.5032</v>
      </c>
      <c r="J35" s="42">
        <f t="shared" ref="J35" si="36">I36</f>
        <v>54.9482</v>
      </c>
      <c r="K35" s="42">
        <f t="shared" ref="K35" si="37">J36</f>
        <v>61.916800000000002</v>
      </c>
      <c r="L35" s="42">
        <f t="shared" ref="L35" si="38">K36</f>
        <v>65.014399999999995</v>
      </c>
    </row>
    <row r="36" spans="1:12" x14ac:dyDescent="0.25">
      <c r="A36" s="6"/>
      <c r="B36" s="36" t="s">
        <v>72</v>
      </c>
      <c r="C36" s="42">
        <f>C8*C29/100000</f>
        <v>23.5</v>
      </c>
      <c r="D36" s="42">
        <f t="shared" ref="D36:I36" si="39">D8*D29/100000</f>
        <v>27.824999999999999</v>
      </c>
      <c r="E36" s="42">
        <f t="shared" si="39"/>
        <v>31.9754</v>
      </c>
      <c r="F36" s="42">
        <f t="shared" si="39"/>
        <v>37.049599999999998</v>
      </c>
      <c r="G36" s="42">
        <f t="shared" si="39"/>
        <v>42.545999999999999</v>
      </c>
      <c r="H36" s="42">
        <f t="shared" si="39"/>
        <v>48.5032</v>
      </c>
      <c r="I36" s="42">
        <f t="shared" si="39"/>
        <v>54.9482</v>
      </c>
      <c r="J36" s="42">
        <f t="shared" ref="J36:L36" si="40">J8*J29/100000</f>
        <v>61.916800000000002</v>
      </c>
      <c r="K36" s="42">
        <f t="shared" si="40"/>
        <v>65.014399999999995</v>
      </c>
      <c r="L36" s="42">
        <f t="shared" si="40"/>
        <v>72.915800000000004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8" t="s">
        <v>84</v>
      </c>
      <c r="B38" s="8" t="str">
        <f>B10</f>
        <v>Raw Jari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36" t="s">
        <v>71</v>
      </c>
      <c r="C39" s="42">
        <v>0</v>
      </c>
      <c r="D39" s="42">
        <f>C40</f>
        <v>0.14000000000000001</v>
      </c>
      <c r="E39" s="42">
        <f>D40</f>
        <v>0.14699999999999999</v>
      </c>
      <c r="F39" s="42">
        <f t="shared" ref="F39:I39" si="41">E40</f>
        <v>0.15440000000000001</v>
      </c>
      <c r="G39" s="42">
        <f t="shared" si="41"/>
        <v>0.16209999999999999</v>
      </c>
      <c r="H39" s="42">
        <f t="shared" si="41"/>
        <v>0.17019999999999999</v>
      </c>
      <c r="I39" s="42">
        <f t="shared" si="41"/>
        <v>0.1787</v>
      </c>
      <c r="J39" s="42">
        <f t="shared" ref="J39" si="42">I40</f>
        <v>0.18759999999999999</v>
      </c>
      <c r="K39" s="42">
        <f t="shared" ref="K39" si="43">J40</f>
        <v>0.19700000000000001</v>
      </c>
      <c r="L39" s="42">
        <f t="shared" ref="L39" si="44">K40</f>
        <v>0.2069</v>
      </c>
    </row>
    <row r="40" spans="1:12" x14ac:dyDescent="0.25">
      <c r="A40" s="6"/>
      <c r="B40" s="36" t="s">
        <v>72</v>
      </c>
      <c r="C40" s="42">
        <f>C30*C14/100000</f>
        <v>0.14000000000000001</v>
      </c>
      <c r="D40" s="42">
        <f t="shared" ref="D40:I40" si="45">D30*D14/100000</f>
        <v>0.14699999999999999</v>
      </c>
      <c r="E40" s="42">
        <f t="shared" si="45"/>
        <v>0.15440000000000001</v>
      </c>
      <c r="F40" s="42">
        <f t="shared" si="45"/>
        <v>0.16209999999999999</v>
      </c>
      <c r="G40" s="42">
        <f t="shared" si="45"/>
        <v>0.17019999999999999</v>
      </c>
      <c r="H40" s="42">
        <f t="shared" si="45"/>
        <v>0.1787</v>
      </c>
      <c r="I40" s="42">
        <f t="shared" si="45"/>
        <v>0.18759999999999999</v>
      </c>
      <c r="J40" s="42">
        <f t="shared" ref="J40:L40" si="46">J30*J14/100000</f>
        <v>0.19700000000000001</v>
      </c>
      <c r="K40" s="42">
        <f t="shared" si="46"/>
        <v>0.2069</v>
      </c>
      <c r="L40" s="42">
        <f t="shared" si="46"/>
        <v>0.43440000000000001</v>
      </c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8" t="s">
        <v>85</v>
      </c>
      <c r="B42" s="8" t="str">
        <f>B16</f>
        <v>Broken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36" t="s">
        <v>71</v>
      </c>
      <c r="C43" s="42">
        <v>0</v>
      </c>
      <c r="D43" s="42">
        <f>C44</f>
        <v>0.5</v>
      </c>
      <c r="E43" s="42">
        <f>D44</f>
        <v>0.26250000000000001</v>
      </c>
      <c r="F43" s="42">
        <f t="shared" ref="F43:I43" si="47">E44</f>
        <v>0.27560000000000001</v>
      </c>
      <c r="G43" s="42">
        <f t="shared" si="47"/>
        <v>0.28939999999999999</v>
      </c>
      <c r="H43" s="42">
        <f t="shared" si="47"/>
        <v>0.60780000000000001</v>
      </c>
      <c r="I43" s="42">
        <f t="shared" si="47"/>
        <v>0.63819999999999999</v>
      </c>
      <c r="J43" s="42">
        <f t="shared" ref="J43" si="48">I44</f>
        <v>0.67020000000000002</v>
      </c>
      <c r="K43" s="42">
        <f t="shared" ref="K43" si="49">J44</f>
        <v>0.70379999999999998</v>
      </c>
      <c r="L43" s="42">
        <f t="shared" ref="L43" si="50">K44</f>
        <v>0.73899999999999999</v>
      </c>
    </row>
    <row r="44" spans="1:12" x14ac:dyDescent="0.25">
      <c r="A44" s="6"/>
      <c r="B44" s="36" t="s">
        <v>72</v>
      </c>
      <c r="C44" s="42">
        <f>C31*C20/100000</f>
        <v>0.5</v>
      </c>
      <c r="D44" s="42">
        <f t="shared" ref="D44:I44" si="51">D31*D20/100000</f>
        <v>0.26250000000000001</v>
      </c>
      <c r="E44" s="42">
        <f t="shared" si="51"/>
        <v>0.27560000000000001</v>
      </c>
      <c r="F44" s="42">
        <f t="shared" si="51"/>
        <v>0.28939999999999999</v>
      </c>
      <c r="G44" s="42">
        <f t="shared" si="51"/>
        <v>0.60780000000000001</v>
      </c>
      <c r="H44" s="42">
        <f t="shared" si="51"/>
        <v>0.63819999999999999</v>
      </c>
      <c r="I44" s="42">
        <f t="shared" si="51"/>
        <v>0.67020000000000002</v>
      </c>
      <c r="J44" s="42">
        <f t="shared" ref="J44:L44" si="52">J31*J20/100000</f>
        <v>0.70379999999999998</v>
      </c>
      <c r="K44" s="42">
        <f t="shared" si="52"/>
        <v>0.73899999999999999</v>
      </c>
      <c r="L44" s="42">
        <f t="shared" si="52"/>
        <v>0.77600000000000002</v>
      </c>
    </row>
    <row r="45" spans="1:12" x14ac:dyDescent="0.25">
      <c r="A45" s="6"/>
      <c r="B45" s="36"/>
      <c r="C45" s="42"/>
      <c r="D45" s="42"/>
      <c r="E45" s="42"/>
      <c r="F45" s="42"/>
      <c r="G45" s="42"/>
      <c r="H45" s="42"/>
      <c r="I45" s="42"/>
      <c r="J45" s="6"/>
      <c r="K45" s="6"/>
      <c r="L45" s="6"/>
    </row>
    <row r="46" spans="1:12" x14ac:dyDescent="0.25">
      <c r="A46" s="6" t="s">
        <v>411</v>
      </c>
      <c r="B46" s="8" t="str">
        <f>B22</f>
        <v>Powder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36" t="s">
        <v>71</v>
      </c>
      <c r="C47" s="42">
        <v>0</v>
      </c>
      <c r="D47" s="42">
        <f>C48</f>
        <v>0.12</v>
      </c>
      <c r="E47" s="42">
        <f>D48</f>
        <v>0.126</v>
      </c>
      <c r="F47" s="42">
        <f t="shared" ref="F47" si="53">E48</f>
        <v>0.1323</v>
      </c>
      <c r="G47" s="42">
        <f t="shared" ref="G47" si="54">F48</f>
        <v>0.1389</v>
      </c>
      <c r="H47" s="42">
        <f t="shared" ref="H47" si="55">G48</f>
        <v>0.29160000000000003</v>
      </c>
      <c r="I47" s="42">
        <f t="shared" ref="I47" si="56">H48</f>
        <v>0.30620000000000003</v>
      </c>
      <c r="J47" s="42">
        <f t="shared" ref="J47" si="57">I48</f>
        <v>0.3216</v>
      </c>
      <c r="K47" s="42">
        <f t="shared" ref="K47" si="58">J48</f>
        <v>0.33760000000000001</v>
      </c>
      <c r="L47" s="42">
        <f t="shared" ref="L47" si="59">K48</f>
        <v>0.35439999999999999</v>
      </c>
    </row>
    <row r="48" spans="1:12" x14ac:dyDescent="0.25">
      <c r="A48" s="6"/>
      <c r="B48" s="36" t="s">
        <v>72</v>
      </c>
      <c r="C48" s="42">
        <f>C32*C26/100000</f>
        <v>0.12</v>
      </c>
      <c r="D48" s="42">
        <f t="shared" ref="D48:L48" si="60">D32*D26/100000</f>
        <v>0.126</v>
      </c>
      <c r="E48" s="42">
        <f t="shared" si="60"/>
        <v>0.1323</v>
      </c>
      <c r="F48" s="42">
        <f t="shared" si="60"/>
        <v>0.1389</v>
      </c>
      <c r="G48" s="42">
        <f t="shared" si="60"/>
        <v>0.29160000000000003</v>
      </c>
      <c r="H48" s="42">
        <f t="shared" si="60"/>
        <v>0.30620000000000003</v>
      </c>
      <c r="I48" s="42">
        <f t="shared" si="60"/>
        <v>0.3216</v>
      </c>
      <c r="J48" s="42">
        <f t="shared" si="60"/>
        <v>0.33760000000000001</v>
      </c>
      <c r="K48" s="42">
        <f t="shared" si="60"/>
        <v>0.35439999999999999</v>
      </c>
      <c r="L48" s="42">
        <f t="shared" si="60"/>
        <v>0.37219999999999998</v>
      </c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8" t="s">
        <v>87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26" t="s">
        <v>71</v>
      </c>
      <c r="C51" s="41">
        <f>C35+C39+C43+C47</f>
        <v>0</v>
      </c>
      <c r="D51" s="41">
        <f t="shared" ref="D51:L51" si="61">D35+D39+D43+D47</f>
        <v>24.26</v>
      </c>
      <c r="E51" s="41">
        <f t="shared" si="61"/>
        <v>28.360499999999998</v>
      </c>
      <c r="F51" s="41">
        <f t="shared" si="61"/>
        <v>32.537700000000001</v>
      </c>
      <c r="G51" s="41">
        <f t="shared" si="61"/>
        <v>37.64</v>
      </c>
      <c r="H51" s="41">
        <f t="shared" si="61"/>
        <v>43.615600000000001</v>
      </c>
      <c r="I51" s="41">
        <f t="shared" si="61"/>
        <v>49.626299999999993</v>
      </c>
      <c r="J51" s="41">
        <f t="shared" si="61"/>
        <v>56.127600000000001</v>
      </c>
      <c r="K51" s="41">
        <f t="shared" si="61"/>
        <v>63.155200000000008</v>
      </c>
      <c r="L51" s="41">
        <f t="shared" si="61"/>
        <v>66.314700000000002</v>
      </c>
    </row>
    <row r="52" spans="1:12" x14ac:dyDescent="0.25">
      <c r="A52" s="6"/>
      <c r="B52" s="26" t="s">
        <v>72</v>
      </c>
      <c r="C52" s="41">
        <f>C36+C40+C44+C48</f>
        <v>24.26</v>
      </c>
      <c r="D52" s="41">
        <f t="shared" ref="D52:L52" si="62">D36+D40+D44+D48</f>
        <v>28.360499999999998</v>
      </c>
      <c r="E52" s="41">
        <f t="shared" si="62"/>
        <v>32.537700000000001</v>
      </c>
      <c r="F52" s="41">
        <f t="shared" si="62"/>
        <v>37.64</v>
      </c>
      <c r="G52" s="41">
        <f t="shared" si="62"/>
        <v>43.615600000000001</v>
      </c>
      <c r="H52" s="41">
        <f t="shared" si="62"/>
        <v>49.626299999999993</v>
      </c>
      <c r="I52" s="41">
        <f t="shared" si="62"/>
        <v>56.127600000000001</v>
      </c>
      <c r="J52" s="41">
        <f t="shared" si="62"/>
        <v>63.155200000000008</v>
      </c>
      <c r="K52" s="41">
        <f t="shared" si="62"/>
        <v>66.314700000000002</v>
      </c>
      <c r="L52" s="41">
        <f t="shared" si="62"/>
        <v>74.498400000000004</v>
      </c>
    </row>
    <row r="54" spans="1:12" x14ac:dyDescent="0.25">
      <c r="C54" s="25"/>
    </row>
  </sheetData>
  <pageMargins left="0.7" right="0.7" top="0.75" bottom="0.75" header="0.3" footer="0.3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7" t="s">
        <v>417</v>
      </c>
      <c r="B2" s="168" t="s">
        <v>418</v>
      </c>
      <c r="C2" s="169" t="s">
        <v>419</v>
      </c>
      <c r="D2" s="295" t="s">
        <v>420</v>
      </c>
      <c r="E2" s="295" t="s">
        <v>421</v>
      </c>
      <c r="F2" s="295" t="s">
        <v>422</v>
      </c>
      <c r="G2" s="297" t="s">
        <v>423</v>
      </c>
      <c r="H2" s="298"/>
      <c r="I2" s="298"/>
      <c r="J2" s="298"/>
      <c r="K2" s="298"/>
      <c r="L2" s="298"/>
      <c r="M2" s="299"/>
    </row>
    <row r="3" spans="1:13" x14ac:dyDescent="0.25">
      <c r="A3" s="170" t="s">
        <v>424</v>
      </c>
      <c r="B3" s="170"/>
      <c r="C3" s="171" t="s">
        <v>425</v>
      </c>
      <c r="D3" s="296"/>
      <c r="E3" s="296"/>
      <c r="F3" s="296"/>
      <c r="G3" s="172" t="s">
        <v>36</v>
      </c>
      <c r="H3" s="172" t="s">
        <v>37</v>
      </c>
      <c r="I3" s="172" t="s">
        <v>38</v>
      </c>
      <c r="J3" s="172" t="s">
        <v>39</v>
      </c>
      <c r="K3" s="172" t="s">
        <v>40</v>
      </c>
      <c r="L3" s="172" t="s">
        <v>41</v>
      </c>
      <c r="M3" s="172" t="s">
        <v>42</v>
      </c>
    </row>
    <row r="4" spans="1:13" x14ac:dyDescent="0.25">
      <c r="A4" s="162" t="s">
        <v>426</v>
      </c>
      <c r="B4" s="10"/>
      <c r="C4" s="10"/>
      <c r="D4" s="10"/>
      <c r="E4" s="10"/>
      <c r="F4" s="10"/>
      <c r="G4" s="163">
        <v>0.4</v>
      </c>
      <c r="H4" s="164">
        <v>0.5</v>
      </c>
      <c r="I4" s="164">
        <f t="shared" ref="I4:K4" si="0">+H4+5%</f>
        <v>0.55000000000000004</v>
      </c>
      <c r="J4" s="164">
        <f t="shared" si="0"/>
        <v>0.60000000000000009</v>
      </c>
      <c r="K4" s="164">
        <f t="shared" si="0"/>
        <v>0.65000000000000013</v>
      </c>
      <c r="L4" s="164">
        <f>+K4</f>
        <v>0.65000000000000013</v>
      </c>
      <c r="M4" s="164">
        <f>+L4</f>
        <v>0.65000000000000013</v>
      </c>
    </row>
    <row r="5" spans="1:13" x14ac:dyDescent="0.25">
      <c r="A5" s="10" t="s">
        <v>473</v>
      </c>
      <c r="B5" s="10">
        <v>1</v>
      </c>
      <c r="C5" s="10">
        <v>700</v>
      </c>
      <c r="D5" s="10"/>
      <c r="E5" s="10">
        <v>1500</v>
      </c>
      <c r="F5" s="10" t="s">
        <v>427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474</v>
      </c>
      <c r="B6" s="10">
        <v>2</v>
      </c>
      <c r="C6" s="10">
        <v>350</v>
      </c>
      <c r="D6" s="10"/>
      <c r="E6" s="10">
        <v>1000</v>
      </c>
      <c r="F6" s="10" t="s">
        <v>427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428</v>
      </c>
      <c r="B7" s="10"/>
      <c r="C7" s="10"/>
      <c r="D7" s="10"/>
      <c r="E7" s="10"/>
      <c r="F7" s="10" t="s">
        <v>429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430</v>
      </c>
      <c r="B8" s="10"/>
      <c r="C8" s="10"/>
      <c r="D8" s="10"/>
      <c r="E8" s="10"/>
      <c r="F8" s="10" t="s">
        <v>431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432</v>
      </c>
      <c r="B9" s="10"/>
      <c r="C9" s="10"/>
      <c r="D9" s="10"/>
      <c r="E9" s="10"/>
      <c r="F9" s="10" t="s">
        <v>431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3" t="s">
        <v>329</v>
      </c>
      <c r="B10" s="83"/>
      <c r="C10" s="83"/>
      <c r="D10" s="83"/>
      <c r="E10" s="83"/>
      <c r="F10" s="83"/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</row>
    <row r="19" spans="4:4" x14ac:dyDescent="0.25">
      <c r="D19" s="166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416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60" zoomScaleNormal="100" workbookViewId="0">
      <selection activeCell="O12" sqref="O12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00" t="s">
        <v>90</v>
      </c>
      <c r="B1" s="300"/>
      <c r="C1" s="300"/>
      <c r="D1" s="300"/>
      <c r="E1" s="300"/>
      <c r="F1" s="300"/>
      <c r="G1" s="300"/>
    </row>
    <row r="2" spans="1:7" ht="26.25" x14ac:dyDescent="0.25">
      <c r="A2" s="47" t="s">
        <v>91</v>
      </c>
      <c r="B2" s="47" t="s">
        <v>1</v>
      </c>
      <c r="C2" s="48" t="s">
        <v>92</v>
      </c>
      <c r="D2" s="48"/>
      <c r="E2" s="48" t="s">
        <v>93</v>
      </c>
      <c r="F2" s="49" t="s">
        <v>94</v>
      </c>
      <c r="G2" s="49" t="s">
        <v>95</v>
      </c>
    </row>
    <row r="3" spans="1:7" x14ac:dyDescent="0.25">
      <c r="A3" s="50">
        <v>1</v>
      </c>
      <c r="B3" s="51" t="s">
        <v>96</v>
      </c>
      <c r="C3" s="50" t="s">
        <v>97</v>
      </c>
      <c r="D3" s="50" t="s">
        <v>567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98</v>
      </c>
      <c r="C4" s="50" t="s">
        <v>97</v>
      </c>
      <c r="D4" s="50" t="s">
        <v>413</v>
      </c>
      <c r="E4" s="50">
        <v>0</v>
      </c>
      <c r="F4" s="52">
        <v>18000</v>
      </c>
      <c r="G4" s="52">
        <f t="shared" si="0"/>
        <v>0</v>
      </c>
    </row>
    <row r="5" spans="1:7" ht="26.25" x14ac:dyDescent="0.25">
      <c r="A5" s="50">
        <v>3</v>
      </c>
      <c r="B5" s="51" t="s">
        <v>99</v>
      </c>
      <c r="C5" s="50" t="s">
        <v>97</v>
      </c>
      <c r="D5" s="50" t="s">
        <v>567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100</v>
      </c>
      <c r="C6" s="50" t="s">
        <v>97</v>
      </c>
      <c r="D6" s="50" t="s">
        <v>567</v>
      </c>
      <c r="E6" s="50">
        <v>0</v>
      </c>
      <c r="F6" s="52">
        <v>10000</v>
      </c>
      <c r="G6" s="52">
        <f t="shared" si="0"/>
        <v>0</v>
      </c>
    </row>
    <row r="7" spans="1:7" x14ac:dyDescent="0.25">
      <c r="A7" s="50">
        <v>5</v>
      </c>
      <c r="B7" s="51" t="s">
        <v>101</v>
      </c>
      <c r="C7" s="50" t="s">
        <v>97</v>
      </c>
      <c r="D7" s="50" t="s">
        <v>567</v>
      </c>
      <c r="E7" s="50">
        <v>1</v>
      </c>
      <c r="F7" s="52">
        <v>8000</v>
      </c>
      <c r="G7" s="52">
        <f t="shared" si="0"/>
        <v>0.96</v>
      </c>
    </row>
    <row r="8" spans="1:7" x14ac:dyDescent="0.25">
      <c r="A8" s="50">
        <v>6</v>
      </c>
      <c r="B8" s="51" t="s">
        <v>102</v>
      </c>
      <c r="C8" s="50" t="s">
        <v>97</v>
      </c>
      <c r="D8" s="50" t="s">
        <v>413</v>
      </c>
      <c r="E8" s="50">
        <v>0</v>
      </c>
      <c r="F8" s="52">
        <v>8000</v>
      </c>
      <c r="G8" s="52">
        <f t="shared" si="0"/>
        <v>0</v>
      </c>
    </row>
    <row r="9" spans="1:7" x14ac:dyDescent="0.25">
      <c r="A9" s="50">
        <v>7</v>
      </c>
      <c r="B9" s="51" t="s">
        <v>103</v>
      </c>
      <c r="C9" s="50" t="s">
        <v>97</v>
      </c>
      <c r="D9" s="50" t="s">
        <v>567</v>
      </c>
      <c r="E9" s="50">
        <v>1</v>
      </c>
      <c r="F9" s="52">
        <v>6000</v>
      </c>
      <c r="G9" s="52">
        <f t="shared" si="0"/>
        <v>0.72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162</v>
      </c>
      <c r="C11" s="50" t="s">
        <v>104</v>
      </c>
      <c r="D11" s="50" t="s">
        <v>567</v>
      </c>
      <c r="E11" s="50">
        <v>0</v>
      </c>
      <c r="F11" s="52">
        <v>18000</v>
      </c>
      <c r="G11" s="52">
        <f t="shared" ref="G11:G17" si="1">E11*F11*12/100000</f>
        <v>0</v>
      </c>
    </row>
    <row r="12" spans="1:7" ht="26.25" x14ac:dyDescent="0.25">
      <c r="A12" s="50">
        <v>9</v>
      </c>
      <c r="B12" s="51" t="s">
        <v>105</v>
      </c>
      <c r="C12" s="50" t="s">
        <v>104</v>
      </c>
      <c r="D12" s="50" t="s">
        <v>567</v>
      </c>
      <c r="E12" s="50">
        <v>0</v>
      </c>
      <c r="F12" s="52">
        <v>15000</v>
      </c>
      <c r="G12" s="52">
        <f t="shared" si="1"/>
        <v>0</v>
      </c>
    </row>
    <row r="13" spans="1:7" x14ac:dyDescent="0.25">
      <c r="A13" s="50">
        <v>10</v>
      </c>
      <c r="B13" s="51" t="s">
        <v>106</v>
      </c>
      <c r="C13" s="50" t="s">
        <v>104</v>
      </c>
      <c r="D13" s="50" t="s">
        <v>567</v>
      </c>
      <c r="E13" s="50">
        <v>1</v>
      </c>
      <c r="F13" s="52">
        <v>12000</v>
      </c>
      <c r="G13" s="52">
        <f t="shared" si="1"/>
        <v>1.44</v>
      </c>
    </row>
    <row r="14" spans="1:7" x14ac:dyDescent="0.25">
      <c r="A14" s="50">
        <v>11</v>
      </c>
      <c r="B14" s="51"/>
      <c r="C14" s="50" t="s">
        <v>104</v>
      </c>
      <c r="D14" s="50" t="s">
        <v>567</v>
      </c>
      <c r="E14" s="50"/>
      <c r="F14" s="52">
        <v>9000</v>
      </c>
      <c r="G14" s="52">
        <f t="shared" si="1"/>
        <v>0</v>
      </c>
    </row>
    <row r="15" spans="1:7" x14ac:dyDescent="0.25">
      <c r="A15" s="50">
        <v>12</v>
      </c>
      <c r="B15" s="51" t="s">
        <v>455</v>
      </c>
      <c r="C15" s="50" t="s">
        <v>104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107</v>
      </c>
      <c r="C16" s="50" t="s">
        <v>104</v>
      </c>
      <c r="D16" s="50" t="s">
        <v>567</v>
      </c>
      <c r="E16" s="50">
        <v>0</v>
      </c>
      <c r="F16" s="52">
        <v>8000</v>
      </c>
      <c r="G16" s="52">
        <f t="shared" si="1"/>
        <v>0</v>
      </c>
    </row>
    <row r="17" spans="1:11" x14ac:dyDescent="0.25">
      <c r="A17" s="50">
        <v>14</v>
      </c>
      <c r="B17" s="54" t="s">
        <v>108</v>
      </c>
      <c r="C17" s="50" t="s">
        <v>104</v>
      </c>
      <c r="D17" s="50" t="s">
        <v>567</v>
      </c>
      <c r="E17" s="50">
        <v>0</v>
      </c>
      <c r="F17" s="52">
        <v>8000</v>
      </c>
      <c r="G17" s="52">
        <f t="shared" si="1"/>
        <v>0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3</v>
      </c>
      <c r="F18" s="57"/>
      <c r="G18" s="57">
        <f>SUM(G3:G17)</f>
        <v>3.12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109</v>
      </c>
      <c r="C20" s="50" t="s">
        <v>104</v>
      </c>
      <c r="D20" s="50"/>
      <c r="E20" s="58">
        <v>5</v>
      </c>
      <c r="F20" s="59" t="s">
        <v>110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505</v>
      </c>
      <c r="J22" s="18" t="s">
        <v>506</v>
      </c>
      <c r="K22" s="18" t="s">
        <v>507</v>
      </c>
    </row>
    <row r="23" spans="1:11" x14ac:dyDescent="0.25">
      <c r="A23" s="55" t="s">
        <v>109</v>
      </c>
      <c r="B23" s="18">
        <f>+E20</f>
        <v>5</v>
      </c>
      <c r="C23" s="18">
        <f>ROUND(B23*1.1,0)</f>
        <v>6</v>
      </c>
      <c r="D23" s="18">
        <f t="shared" ref="D23:H23" si="2">ROUND(C23*1.1,0)</f>
        <v>7</v>
      </c>
      <c r="E23" s="18">
        <f t="shared" si="2"/>
        <v>8</v>
      </c>
      <c r="F23" s="18">
        <f t="shared" si="2"/>
        <v>9</v>
      </c>
      <c r="G23" s="18">
        <f t="shared" si="2"/>
        <v>10</v>
      </c>
      <c r="H23" s="18">
        <f t="shared" si="2"/>
        <v>11</v>
      </c>
      <c r="I23" s="242">
        <f>H23</f>
        <v>11</v>
      </c>
      <c r="J23" s="242">
        <f t="shared" ref="J23:K23" si="3">I23</f>
        <v>11</v>
      </c>
      <c r="K23" s="242">
        <f t="shared" si="3"/>
        <v>11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view="pageBreakPreview" topLeftCell="A42" zoomScale="60" zoomScaleNormal="100" workbookViewId="0">
      <selection activeCell="A2" sqref="A2:L4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12" width="9.85546875" style="53" customWidth="1"/>
    <col min="13" max="13" width="12.5703125" style="53" bestFit="1" customWidth="1"/>
    <col min="14" max="14" width="7" style="53" bestFit="1" customWidth="1"/>
    <col min="15" max="15" width="14.140625" style="53" customWidth="1"/>
    <col min="16" max="16" width="4.42578125" style="53" bestFit="1" customWidth="1"/>
    <col min="17" max="17" width="7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111</v>
      </c>
      <c r="C2" s="221" t="s">
        <v>36</v>
      </c>
      <c r="D2" s="221" t="s">
        <v>37</v>
      </c>
      <c r="E2" s="221" t="s">
        <v>38</v>
      </c>
      <c r="F2" s="221" t="s">
        <v>39</v>
      </c>
      <c r="G2" s="221" t="s">
        <v>40</v>
      </c>
      <c r="H2" s="221" t="s">
        <v>41</v>
      </c>
      <c r="I2" s="221" t="s">
        <v>42</v>
      </c>
      <c r="J2" s="221" t="s">
        <v>505</v>
      </c>
      <c r="K2" s="221" t="s">
        <v>506</v>
      </c>
      <c r="L2" s="221" t="s">
        <v>507</v>
      </c>
      <c r="N2" s="300" t="s">
        <v>112</v>
      </c>
      <c r="O2" s="300"/>
      <c r="P2" s="300"/>
      <c r="Q2" s="300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01" t="s">
        <v>113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3"/>
      <c r="N4" s="51">
        <v>65</v>
      </c>
      <c r="O4" s="51">
        <v>200</v>
      </c>
      <c r="P4" s="51">
        <v>12</v>
      </c>
      <c r="Q4" s="62">
        <f>N4*O4*P4</f>
        <v>156000</v>
      </c>
    </row>
    <row r="5" spans="1:17" x14ac:dyDescent="0.2">
      <c r="A5" s="62" t="s">
        <v>114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70</v>
      </c>
      <c r="O5" s="51">
        <v>200</v>
      </c>
      <c r="P5" s="51">
        <v>12</v>
      </c>
      <c r="Q5" s="51">
        <f>N5*O5*P5</f>
        <v>168000</v>
      </c>
    </row>
    <row r="6" spans="1:17" x14ac:dyDescent="0.2">
      <c r="A6" s="51" t="s">
        <v>115</v>
      </c>
      <c r="B6" s="51" t="s">
        <v>116</v>
      </c>
      <c r="C6" s="52">
        <f>2000*12/100000</f>
        <v>0.24</v>
      </c>
      <c r="D6" s="52">
        <f t="shared" ref="D6:I16" si="0">C6*1.05</f>
        <v>0.252</v>
      </c>
      <c r="E6" s="52">
        <f t="shared" si="0"/>
        <v>0.2646</v>
      </c>
      <c r="F6" s="52">
        <f t="shared" si="0"/>
        <v>0.27783000000000002</v>
      </c>
      <c r="G6" s="52">
        <f t="shared" si="0"/>
        <v>0.29172150000000002</v>
      </c>
      <c r="H6" s="52">
        <f t="shared" si="0"/>
        <v>0.30630757500000005</v>
      </c>
      <c r="I6" s="52">
        <f t="shared" si="0"/>
        <v>0.32162295375000005</v>
      </c>
      <c r="J6" s="52">
        <f t="shared" ref="J6:J16" si="1">I6*1.05</f>
        <v>0.33770410143750007</v>
      </c>
      <c r="K6" s="52">
        <f t="shared" ref="K6:K16" si="2">J6*1.05</f>
        <v>0.35458930650937509</v>
      </c>
      <c r="L6" s="52">
        <f t="shared" ref="L6:L16" si="3">K6*1.05</f>
        <v>0.37231877183484385</v>
      </c>
      <c r="M6" s="63"/>
      <c r="N6" s="301" t="s">
        <v>117</v>
      </c>
      <c r="O6" s="302"/>
      <c r="P6" s="302"/>
      <c r="Q6" s="303"/>
    </row>
    <row r="7" spans="1:17" x14ac:dyDescent="0.2">
      <c r="A7" s="51" t="s">
        <v>118</v>
      </c>
      <c r="B7" s="51" t="s">
        <v>637</v>
      </c>
      <c r="C7" s="52">
        <f>1000*12/100000</f>
        <v>0.12</v>
      </c>
      <c r="D7" s="52">
        <f t="shared" si="0"/>
        <v>0.126</v>
      </c>
      <c r="E7" s="52">
        <f t="shared" si="0"/>
        <v>0.1323</v>
      </c>
      <c r="F7" s="52">
        <f t="shared" si="0"/>
        <v>0.13891500000000001</v>
      </c>
      <c r="G7" s="52">
        <f t="shared" si="0"/>
        <v>0.14586075000000001</v>
      </c>
      <c r="H7" s="52">
        <f t="shared" si="0"/>
        <v>0.15315378750000003</v>
      </c>
      <c r="I7" s="52">
        <f t="shared" si="0"/>
        <v>0.16081147687500003</v>
      </c>
      <c r="J7" s="52">
        <f t="shared" si="1"/>
        <v>0.16885205071875004</v>
      </c>
      <c r="K7" s="52">
        <f t="shared" si="2"/>
        <v>0.17729465325468755</v>
      </c>
      <c r="L7" s="52">
        <f t="shared" si="3"/>
        <v>0.18615938591742193</v>
      </c>
      <c r="M7" s="63"/>
      <c r="N7" s="51">
        <f>N5</f>
        <v>70</v>
      </c>
      <c r="O7" s="51"/>
      <c r="P7" s="51"/>
      <c r="Q7" s="51"/>
    </row>
    <row r="8" spans="1:17" x14ac:dyDescent="0.2">
      <c r="A8" s="51" t="s">
        <v>636</v>
      </c>
      <c r="B8" s="51" t="s">
        <v>132</v>
      </c>
      <c r="C8" s="52">
        <f>1000*12/100000</f>
        <v>0.12</v>
      </c>
      <c r="D8" s="52">
        <f t="shared" ref="D8" si="4">C8*1.05</f>
        <v>0.126</v>
      </c>
      <c r="E8" s="52">
        <f t="shared" ref="E8" si="5">D8*1.05</f>
        <v>0.1323</v>
      </c>
      <c r="F8" s="52">
        <f t="shared" ref="F8" si="6">E8*1.05</f>
        <v>0.13891500000000001</v>
      </c>
      <c r="G8" s="52">
        <f t="shared" ref="G8" si="7">F8*1.05</f>
        <v>0.14586075000000001</v>
      </c>
      <c r="H8" s="52">
        <f t="shared" ref="H8" si="8">G8*1.05</f>
        <v>0.15315378750000003</v>
      </c>
      <c r="I8" s="52">
        <f t="shared" ref="I8" si="9">H8*1.05</f>
        <v>0.16081147687500003</v>
      </c>
      <c r="J8" s="52">
        <f t="shared" ref="J8" si="10">I8*1.05</f>
        <v>0.16885205071875004</v>
      </c>
      <c r="K8" s="52">
        <f t="shared" ref="K8" si="11">J8*1.05</f>
        <v>0.17729465325468755</v>
      </c>
      <c r="L8" s="52">
        <f t="shared" ref="L8" si="12">K8*1.05</f>
        <v>0.18615938591742193</v>
      </c>
      <c r="M8" s="63"/>
      <c r="N8" s="51"/>
      <c r="O8" s="51"/>
      <c r="P8" s="51"/>
      <c r="Q8" s="51"/>
    </row>
    <row r="9" spans="1:17" x14ac:dyDescent="0.2">
      <c r="A9" s="51" t="s">
        <v>119</v>
      </c>
      <c r="B9" s="51" t="s">
        <v>120</v>
      </c>
      <c r="C9" s="52">
        <v>0.15</v>
      </c>
      <c r="D9" s="52">
        <f t="shared" si="0"/>
        <v>0.1575</v>
      </c>
      <c r="E9" s="52">
        <f t="shared" si="0"/>
        <v>0.16537500000000002</v>
      </c>
      <c r="F9" s="52">
        <f t="shared" si="0"/>
        <v>0.17364375000000004</v>
      </c>
      <c r="G9" s="52">
        <f t="shared" si="0"/>
        <v>0.18232593750000006</v>
      </c>
      <c r="H9" s="52">
        <f t="shared" si="0"/>
        <v>0.19144223437500008</v>
      </c>
      <c r="I9" s="52">
        <f t="shared" si="0"/>
        <v>0.2010143460937501</v>
      </c>
      <c r="J9" s="52">
        <f t="shared" si="1"/>
        <v>0.21106506339843761</v>
      </c>
      <c r="K9" s="52">
        <f t="shared" si="2"/>
        <v>0.22161831656835951</v>
      </c>
      <c r="L9" s="52">
        <f t="shared" si="3"/>
        <v>0.23269923239677751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121</v>
      </c>
      <c r="B10" s="51" t="s">
        <v>122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123</v>
      </c>
      <c r="B11" s="51" t="s">
        <v>124</v>
      </c>
      <c r="C11" s="52">
        <v>0</v>
      </c>
      <c r="D11" s="52">
        <f t="shared" si="0"/>
        <v>0</v>
      </c>
      <c r="E11" s="52">
        <f t="shared" si="0"/>
        <v>0</v>
      </c>
      <c r="F11" s="52">
        <f t="shared" si="0"/>
        <v>0</v>
      </c>
      <c r="G11" s="52">
        <f t="shared" si="0"/>
        <v>0</v>
      </c>
      <c r="H11" s="52">
        <f t="shared" si="0"/>
        <v>0</v>
      </c>
      <c r="I11" s="52">
        <f t="shared" si="0"/>
        <v>0</v>
      </c>
      <c r="J11" s="52">
        <f t="shared" si="1"/>
        <v>0</v>
      </c>
      <c r="K11" s="52">
        <f t="shared" si="2"/>
        <v>0</v>
      </c>
      <c r="L11" s="52">
        <f t="shared" si="3"/>
        <v>0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125</v>
      </c>
      <c r="B12" s="51" t="s">
        <v>124</v>
      </c>
      <c r="C12" s="52">
        <f>3000*12/100000</f>
        <v>0.36</v>
      </c>
      <c r="D12" s="52">
        <f t="shared" si="0"/>
        <v>0.378</v>
      </c>
      <c r="E12" s="52">
        <f t="shared" si="0"/>
        <v>0.39690000000000003</v>
      </c>
      <c r="F12" s="52">
        <f t="shared" si="0"/>
        <v>0.41674500000000003</v>
      </c>
      <c r="G12" s="52">
        <f t="shared" si="0"/>
        <v>0.43758225000000006</v>
      </c>
      <c r="H12" s="52">
        <f t="shared" si="0"/>
        <v>0.45946136250000008</v>
      </c>
      <c r="I12" s="52">
        <f t="shared" si="0"/>
        <v>0.48243443062500013</v>
      </c>
      <c r="J12" s="52">
        <f t="shared" si="1"/>
        <v>0.50655615215625016</v>
      </c>
      <c r="K12" s="52">
        <f t="shared" si="2"/>
        <v>0.53188395976406266</v>
      </c>
      <c r="L12" s="52">
        <f t="shared" si="3"/>
        <v>0.55847815775226584</v>
      </c>
      <c r="M12" s="63"/>
      <c r="N12" s="51">
        <v>8</v>
      </c>
      <c r="O12" s="51"/>
      <c r="P12" s="51"/>
      <c r="Q12" s="51"/>
    </row>
    <row r="13" spans="1:17" ht="25.5" x14ac:dyDescent="0.2">
      <c r="A13" s="51" t="s">
        <v>126</v>
      </c>
      <c r="B13" s="51" t="s">
        <v>127</v>
      </c>
      <c r="C13" s="52">
        <f>SUM('Manpower Schedule'!G3:G9)</f>
        <v>1.68</v>
      </c>
      <c r="D13" s="52">
        <f t="shared" si="0"/>
        <v>1.764</v>
      </c>
      <c r="E13" s="52">
        <f t="shared" si="0"/>
        <v>1.8522000000000001</v>
      </c>
      <c r="F13" s="52">
        <f t="shared" si="0"/>
        <v>1.9448100000000001</v>
      </c>
      <c r="G13" s="52">
        <f t="shared" si="0"/>
        <v>2.0420505000000002</v>
      </c>
      <c r="H13" s="52">
        <f t="shared" si="0"/>
        <v>2.1441530250000005</v>
      </c>
      <c r="I13" s="52">
        <f t="shared" si="0"/>
        <v>2.2513606762500005</v>
      </c>
      <c r="J13" s="52">
        <f t="shared" si="1"/>
        <v>2.3639287100625004</v>
      </c>
      <c r="K13" s="52">
        <f t="shared" si="2"/>
        <v>2.4821251455656257</v>
      </c>
      <c r="L13" s="52">
        <f t="shared" si="3"/>
        <v>2.6062314028439069</v>
      </c>
      <c r="M13" s="63"/>
      <c r="N13" s="62">
        <f>N7*N9*N10*N11*N12</f>
        <v>3584.0000000000005</v>
      </c>
      <c r="O13" s="51"/>
      <c r="P13" s="51"/>
      <c r="Q13" s="51"/>
    </row>
    <row r="14" spans="1:17" x14ac:dyDescent="0.2">
      <c r="A14" s="51" t="s">
        <v>128</v>
      </c>
      <c r="B14" s="51" t="s">
        <v>129</v>
      </c>
      <c r="C14" s="52">
        <f>5000*12/100000</f>
        <v>0.6</v>
      </c>
      <c r="D14" s="52">
        <f t="shared" si="0"/>
        <v>0.63</v>
      </c>
      <c r="E14" s="52">
        <f t="shared" si="0"/>
        <v>0.66150000000000009</v>
      </c>
      <c r="F14" s="52">
        <f t="shared" si="0"/>
        <v>0.69457500000000016</v>
      </c>
      <c r="G14" s="52">
        <f t="shared" si="0"/>
        <v>0.72930375000000025</v>
      </c>
      <c r="H14" s="52">
        <f t="shared" si="0"/>
        <v>0.7657689375000003</v>
      </c>
      <c r="I14" s="52">
        <f t="shared" si="0"/>
        <v>0.80405738437500041</v>
      </c>
      <c r="J14" s="52">
        <f t="shared" si="1"/>
        <v>0.84426025359375045</v>
      </c>
      <c r="K14" s="52">
        <f t="shared" si="2"/>
        <v>0.88647326627343803</v>
      </c>
      <c r="L14" s="52">
        <f t="shared" si="3"/>
        <v>0.93079692958711002</v>
      </c>
      <c r="M14" s="63"/>
    </row>
    <row r="15" spans="1:17" x14ac:dyDescent="0.2">
      <c r="A15" s="51" t="s">
        <v>130</v>
      </c>
      <c r="B15" s="51" t="s">
        <v>129</v>
      </c>
      <c r="C15" s="52">
        <f>5000*12/100000</f>
        <v>0.6</v>
      </c>
      <c r="D15" s="52">
        <f t="shared" si="0"/>
        <v>0.63</v>
      </c>
      <c r="E15" s="52">
        <f t="shared" si="0"/>
        <v>0.66150000000000009</v>
      </c>
      <c r="F15" s="52">
        <f t="shared" si="0"/>
        <v>0.69457500000000016</v>
      </c>
      <c r="G15" s="52">
        <f t="shared" si="0"/>
        <v>0.72930375000000025</v>
      </c>
      <c r="H15" s="52">
        <f t="shared" si="0"/>
        <v>0.7657689375000003</v>
      </c>
      <c r="I15" s="52">
        <f t="shared" si="0"/>
        <v>0.80405738437500041</v>
      </c>
      <c r="J15" s="52">
        <f t="shared" si="1"/>
        <v>0.84426025359375045</v>
      </c>
      <c r="K15" s="52">
        <f t="shared" si="2"/>
        <v>0.88647326627343803</v>
      </c>
      <c r="L15" s="52">
        <f t="shared" si="3"/>
        <v>0.93079692958711002</v>
      </c>
      <c r="M15" s="63"/>
    </row>
    <row r="16" spans="1:17" x14ac:dyDescent="0.2">
      <c r="A16" s="51" t="s">
        <v>131</v>
      </c>
      <c r="B16" s="51" t="s">
        <v>132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44.800000000000004</v>
      </c>
    </row>
    <row r="17" spans="1:13" ht="25.5" x14ac:dyDescent="0.2">
      <c r="A17" s="51" t="s">
        <v>133</v>
      </c>
      <c r="B17" s="51" t="s">
        <v>134</v>
      </c>
      <c r="C17" s="52">
        <f t="shared" ref="C17:I17" si="13">C13*0.1</f>
        <v>0.16800000000000001</v>
      </c>
      <c r="D17" s="52">
        <f t="shared" si="13"/>
        <v>0.1764</v>
      </c>
      <c r="E17" s="52">
        <f t="shared" si="13"/>
        <v>0.18522000000000002</v>
      </c>
      <c r="F17" s="52">
        <f t="shared" si="13"/>
        <v>0.19448100000000001</v>
      </c>
      <c r="G17" s="52">
        <f t="shared" si="13"/>
        <v>0.20420505000000003</v>
      </c>
      <c r="H17" s="52">
        <f t="shared" si="13"/>
        <v>0.21441530250000007</v>
      </c>
      <c r="I17" s="52">
        <f t="shared" si="13"/>
        <v>0.22513606762500005</v>
      </c>
      <c r="J17" s="52">
        <f t="shared" ref="J17:L17" si="14">J13*0.1</f>
        <v>0.23639287100625006</v>
      </c>
      <c r="K17" s="52">
        <f t="shared" si="14"/>
        <v>0.24821251455656257</v>
      </c>
      <c r="L17" s="52">
        <f t="shared" si="14"/>
        <v>0.26062314028439071</v>
      </c>
      <c r="M17" s="63"/>
    </row>
    <row r="18" spans="1:13" ht="25.5" x14ac:dyDescent="0.2">
      <c r="A18" s="62" t="s">
        <v>135</v>
      </c>
      <c r="B18" s="62"/>
      <c r="C18" s="64">
        <f t="shared" ref="C18:I18" si="15">SUM(C6:C17)</f>
        <v>4.2780000000000005</v>
      </c>
      <c r="D18" s="64">
        <f t="shared" si="15"/>
        <v>4.4919000000000002</v>
      </c>
      <c r="E18" s="64">
        <f t="shared" si="15"/>
        <v>4.7164950000000001</v>
      </c>
      <c r="F18" s="64">
        <f t="shared" si="15"/>
        <v>4.9523197500000009</v>
      </c>
      <c r="G18" s="64">
        <f t="shared" si="15"/>
        <v>5.1999357375000006</v>
      </c>
      <c r="H18" s="64">
        <f t="shared" si="15"/>
        <v>5.4599325243750023</v>
      </c>
      <c r="I18" s="64">
        <f t="shared" si="15"/>
        <v>5.7329291505937512</v>
      </c>
      <c r="J18" s="64">
        <f t="shared" ref="J18:L18" si="16">SUM(J6:J17)</f>
        <v>6.0195756081234393</v>
      </c>
      <c r="K18" s="64">
        <f t="shared" si="16"/>
        <v>6.3205543885296107</v>
      </c>
      <c r="L18" s="64">
        <f t="shared" si="16"/>
        <v>6.6365821079560936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136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x14ac:dyDescent="0.2">
      <c r="A22" s="51" t="s">
        <v>137</v>
      </c>
      <c r="B22" s="51" t="s">
        <v>124</v>
      </c>
      <c r="C22" s="52">
        <f>3000*12/100000</f>
        <v>0.36</v>
      </c>
      <c r="D22" s="52">
        <f t="shared" ref="D22:I25" si="17">C22*1.05</f>
        <v>0.378</v>
      </c>
      <c r="E22" s="52">
        <f t="shared" si="17"/>
        <v>0.39690000000000003</v>
      </c>
      <c r="F22" s="52">
        <f t="shared" si="17"/>
        <v>0.41674500000000003</v>
      </c>
      <c r="G22" s="52">
        <f t="shared" si="17"/>
        <v>0.43758225000000006</v>
      </c>
      <c r="H22" s="52">
        <f t="shared" si="17"/>
        <v>0.45946136250000008</v>
      </c>
      <c r="I22" s="52">
        <f t="shared" si="17"/>
        <v>0.48243443062500013</v>
      </c>
      <c r="J22" s="52">
        <f t="shared" ref="J22:J25" si="18">I22*1.05</f>
        <v>0.50655615215625016</v>
      </c>
      <c r="K22" s="52">
        <f t="shared" ref="K22:K25" si="19">J22*1.05</f>
        <v>0.53188395976406266</v>
      </c>
      <c r="L22" s="52">
        <f t="shared" ref="L22:L25" si="20">K22*1.05</f>
        <v>0.55847815775226584</v>
      </c>
    </row>
    <row r="23" spans="1:13" ht="38.25" x14ac:dyDescent="0.2">
      <c r="A23" s="51" t="s">
        <v>138</v>
      </c>
      <c r="B23" s="51" t="s">
        <v>139</v>
      </c>
      <c r="C23" s="52">
        <f>('Project Glance'!B6+'Project Glance'!B8+'Project Glance'!B9+'Project Glance'!B11+'Project Glance'!B7)*0.5%</f>
        <v>0.40316760000000001</v>
      </c>
      <c r="D23" s="52">
        <f t="shared" si="17"/>
        <v>0.42332598000000005</v>
      </c>
      <c r="E23" s="52">
        <f t="shared" si="17"/>
        <v>0.44449227900000005</v>
      </c>
      <c r="F23" s="52">
        <f t="shared" si="17"/>
        <v>0.46671689295000007</v>
      </c>
      <c r="G23" s="52">
        <f t="shared" si="17"/>
        <v>0.49005273759750012</v>
      </c>
      <c r="H23" s="52">
        <f t="shared" si="17"/>
        <v>0.51455537447737509</v>
      </c>
      <c r="I23" s="52">
        <f t="shared" si="17"/>
        <v>0.54028314320124382</v>
      </c>
      <c r="J23" s="52">
        <f t="shared" si="18"/>
        <v>0.56729730036130599</v>
      </c>
      <c r="K23" s="52">
        <f t="shared" si="19"/>
        <v>0.59566216537937133</v>
      </c>
      <c r="L23" s="52">
        <f t="shared" si="20"/>
        <v>0.62544527364833991</v>
      </c>
    </row>
    <row r="24" spans="1:13" ht="25.5" x14ac:dyDescent="0.2">
      <c r="A24" s="51" t="s">
        <v>140</v>
      </c>
      <c r="B24" s="51" t="s">
        <v>141</v>
      </c>
      <c r="C24" s="52">
        <f>SUM('Manpower Schedule'!G11:G17)</f>
        <v>1.44</v>
      </c>
      <c r="D24" s="52">
        <f t="shared" si="17"/>
        <v>1.512</v>
      </c>
      <c r="E24" s="52">
        <f t="shared" si="17"/>
        <v>1.5876000000000001</v>
      </c>
      <c r="F24" s="52">
        <f t="shared" si="17"/>
        <v>1.6669800000000001</v>
      </c>
      <c r="G24" s="52">
        <f t="shared" si="17"/>
        <v>1.7503290000000002</v>
      </c>
      <c r="H24" s="52">
        <f t="shared" si="17"/>
        <v>1.8378454500000003</v>
      </c>
      <c r="I24" s="52">
        <f t="shared" si="17"/>
        <v>1.9297377225000005</v>
      </c>
      <c r="J24" s="52">
        <f t="shared" si="18"/>
        <v>2.0262246086250006</v>
      </c>
      <c r="K24" s="52">
        <f t="shared" si="19"/>
        <v>2.1275358390562507</v>
      </c>
      <c r="L24" s="52">
        <f t="shared" si="20"/>
        <v>2.2339126310090633</v>
      </c>
    </row>
    <row r="25" spans="1:13" ht="25.5" x14ac:dyDescent="0.2">
      <c r="A25" s="51" t="s">
        <v>142</v>
      </c>
      <c r="B25" s="51" t="s">
        <v>625</v>
      </c>
      <c r="C25" s="52">
        <f>Q5/100000</f>
        <v>1.68</v>
      </c>
      <c r="D25" s="52">
        <f t="shared" si="17"/>
        <v>1.764</v>
      </c>
      <c r="E25" s="52">
        <f t="shared" si="17"/>
        <v>1.8522000000000001</v>
      </c>
      <c r="F25" s="52">
        <f t="shared" si="17"/>
        <v>1.9448100000000001</v>
      </c>
      <c r="G25" s="52">
        <f t="shared" si="17"/>
        <v>2.0420505000000002</v>
      </c>
      <c r="H25" s="52">
        <f t="shared" si="17"/>
        <v>2.1441530250000005</v>
      </c>
      <c r="I25" s="52">
        <f t="shared" si="17"/>
        <v>2.2513606762500005</v>
      </c>
      <c r="J25" s="52">
        <f t="shared" si="18"/>
        <v>2.3639287100625004</v>
      </c>
      <c r="K25" s="52">
        <f t="shared" si="19"/>
        <v>2.4821251455656257</v>
      </c>
      <c r="L25" s="52">
        <f t="shared" si="20"/>
        <v>2.6062314028439069</v>
      </c>
    </row>
    <row r="26" spans="1:13" ht="38.25" hidden="1" x14ac:dyDescent="0.2">
      <c r="A26" s="51" t="s">
        <v>465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143</v>
      </c>
      <c r="B27" s="62"/>
      <c r="C27" s="66">
        <f>SUM(C22:C25)</f>
        <v>3.8831676000000002</v>
      </c>
      <c r="D27" s="66">
        <f t="shared" ref="D27:L27" si="21">SUM(D22:D25)</f>
        <v>4.0773259800000003</v>
      </c>
      <c r="E27" s="66">
        <f t="shared" si="21"/>
        <v>4.2811922789999999</v>
      </c>
      <c r="F27" s="66">
        <f t="shared" si="21"/>
        <v>4.4952518929500007</v>
      </c>
      <c r="G27" s="66">
        <f t="shared" si="21"/>
        <v>4.720014487597501</v>
      </c>
      <c r="H27" s="66">
        <f t="shared" si="21"/>
        <v>4.9560152119773759</v>
      </c>
      <c r="I27" s="66">
        <f t="shared" si="21"/>
        <v>5.203815972576245</v>
      </c>
      <c r="J27" s="66">
        <f t="shared" si="21"/>
        <v>5.4640067712050566</v>
      </c>
      <c r="K27" s="66">
        <f t="shared" si="21"/>
        <v>5.7372071097653103</v>
      </c>
      <c r="L27" s="66">
        <f t="shared" si="21"/>
        <v>6.0240674652535757</v>
      </c>
    </row>
    <row r="28" spans="1:13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3" x14ac:dyDescent="0.2">
      <c r="A29" s="301" t="s">
        <v>144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3"/>
    </row>
    <row r="30" spans="1:13" ht="25.5" x14ac:dyDescent="0.2">
      <c r="A30" s="51" t="s">
        <v>145</v>
      </c>
      <c r="B30" s="51" t="s">
        <v>146</v>
      </c>
      <c r="C30" s="52">
        <f>'Manpower Schedule'!B23*300*'Output Schedule'!B37/100000</f>
        <v>1.8</v>
      </c>
      <c r="D30" s="52">
        <f>'Manpower Schedule'!C23*300*'Output Schedule'!C37/100000</f>
        <v>2.448</v>
      </c>
      <c r="E30" s="52">
        <f>'Manpower Schedule'!D23*300*'Output Schedule'!D37/100000</f>
        <v>3.15</v>
      </c>
      <c r="F30" s="52">
        <f>'Manpower Schedule'!E23*300*'Output Schedule'!E37/100000</f>
        <v>3.984</v>
      </c>
      <c r="G30" s="52">
        <f>'Manpower Schedule'!F23*300*'Output Schedule'!F37/100000</f>
        <v>4.8600000000000003</v>
      </c>
      <c r="H30" s="52">
        <f>'Manpower Schedule'!G23*300*'Output Schedule'!G37/100000</f>
        <v>5.88</v>
      </c>
      <c r="I30" s="52">
        <f>'Manpower Schedule'!H23*300*'Output Schedule'!H37/100000</f>
        <v>6.93</v>
      </c>
      <c r="J30" s="52">
        <f>'Manpower Schedule'!I23*300*'Output Schedule'!I37/100000</f>
        <v>7.4580000000000002</v>
      </c>
      <c r="K30" s="52">
        <f>'Manpower Schedule'!J23*300*'Output Schedule'!J37/100000</f>
        <v>7.4580000000000002</v>
      </c>
      <c r="L30" s="52">
        <f>'Manpower Schedule'!K23*300*'Output Schedule'!K37/100000</f>
        <v>7.92</v>
      </c>
    </row>
    <row r="31" spans="1:13" ht="25.5" x14ac:dyDescent="0.2">
      <c r="A31" s="54" t="s">
        <v>142</v>
      </c>
      <c r="B31" s="51" t="s">
        <v>625</v>
      </c>
      <c r="C31" s="52">
        <f>$N$13*'Output Schedule'!B37/100000</f>
        <v>4.3008000000000006</v>
      </c>
      <c r="D31" s="52">
        <f>$N$13*'Output Schedule'!C37/100000</f>
        <v>4.8742400000000004</v>
      </c>
      <c r="E31" s="52">
        <f>$N$13*'Output Schedule'!D37/100000</f>
        <v>5.3760000000000012</v>
      </c>
      <c r="F31" s="52">
        <f>$N$13*'Output Schedule'!E37/100000</f>
        <v>5.9494400000000009</v>
      </c>
      <c r="G31" s="52">
        <f>$N$13*'Output Schedule'!F37/100000</f>
        <v>6.4512000000000009</v>
      </c>
      <c r="H31" s="52">
        <f>$N$13*'Output Schedule'!G37/100000</f>
        <v>7.0246400000000015</v>
      </c>
      <c r="I31" s="52">
        <f>$N$13*'Output Schedule'!H37/100000</f>
        <v>7.5264000000000015</v>
      </c>
      <c r="J31" s="52">
        <f>$N$13*'Output Schedule'!I37/100000</f>
        <v>8.0998400000000004</v>
      </c>
      <c r="K31" s="52">
        <f>$N$13*'Output Schedule'!J37/100000</f>
        <v>8.0998400000000004</v>
      </c>
      <c r="L31" s="52">
        <f>$N$13*'Output Schedule'!K37/100000</f>
        <v>8.6016000000000012</v>
      </c>
    </row>
    <row r="32" spans="1:13" x14ac:dyDescent="0.2">
      <c r="A32" s="54" t="s">
        <v>148</v>
      </c>
      <c r="B32" s="54" t="s">
        <v>149</v>
      </c>
      <c r="C32" s="52">
        <f>50*'Output Schedule'!B37/100000</f>
        <v>0.06</v>
      </c>
      <c r="D32" s="52">
        <f>50*'Output Schedule'!C37/100000</f>
        <v>6.8000000000000005E-2</v>
      </c>
      <c r="E32" s="52">
        <f>50*'Output Schedule'!D37/100000</f>
        <v>7.4999999999999997E-2</v>
      </c>
      <c r="F32" s="52">
        <f>50*'Output Schedule'!E37/100000</f>
        <v>8.3000000000000004E-2</v>
      </c>
      <c r="G32" s="52">
        <f>50*'Output Schedule'!F37/100000</f>
        <v>0.09</v>
      </c>
      <c r="H32" s="52">
        <f>50*'Output Schedule'!G37/100000</f>
        <v>9.8000000000000004E-2</v>
      </c>
      <c r="I32" s="52">
        <f>50*'Output Schedule'!H37/100000</f>
        <v>0.105</v>
      </c>
      <c r="J32" s="52">
        <f>50*'Output Schedule'!I37/100000</f>
        <v>0.113</v>
      </c>
      <c r="K32" s="52">
        <f>50*'Output Schedule'!J37/100000</f>
        <v>0.113</v>
      </c>
      <c r="L32" s="52">
        <f>50*'Output Schedule'!K37/100000</f>
        <v>0.12</v>
      </c>
    </row>
    <row r="33" spans="1:17" ht="26.25" x14ac:dyDescent="0.25">
      <c r="A33" s="51" t="s">
        <v>150</v>
      </c>
      <c r="B33" s="67" t="s">
        <v>151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/>
    </row>
    <row r="34" spans="1:17" ht="15" x14ac:dyDescent="0.25">
      <c r="A34" s="54" t="s">
        <v>152</v>
      </c>
      <c r="B34" s="67" t="s">
        <v>153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/>
      <c r="O34" s="68"/>
      <c r="P34" s="68"/>
      <c r="Q34" s="68"/>
    </row>
    <row r="35" spans="1:17" ht="39" x14ac:dyDescent="0.25">
      <c r="A35" s="51" t="s">
        <v>154</v>
      </c>
      <c r="B35" s="69" t="s">
        <v>155</v>
      </c>
      <c r="C35" s="52">
        <f>800*'Manpower Schedule'!B23/100000</f>
        <v>0.04</v>
      </c>
      <c r="D35" s="52">
        <f>800*'Manpower Schedule'!C23/100000</f>
        <v>4.8000000000000001E-2</v>
      </c>
      <c r="E35" s="52">
        <f>800*'Manpower Schedule'!D23/100000</f>
        <v>5.6000000000000001E-2</v>
      </c>
      <c r="F35" s="52">
        <f>800*'Manpower Schedule'!E23/100000</f>
        <v>6.4000000000000001E-2</v>
      </c>
      <c r="G35" s="52">
        <f>800*'Manpower Schedule'!F23/100000</f>
        <v>7.1999999999999995E-2</v>
      </c>
      <c r="H35" s="52">
        <f>800*'Manpower Schedule'!G23/100000</f>
        <v>0.08</v>
      </c>
      <c r="I35" s="52">
        <f>800*'Manpower Schedule'!H23/100000</f>
        <v>8.7999999999999995E-2</v>
      </c>
      <c r="J35" s="52">
        <f>800*'Manpower Schedule'!I23/100000</f>
        <v>8.7999999999999995E-2</v>
      </c>
      <c r="K35" s="52">
        <f>800*'Manpower Schedule'!J23/100000</f>
        <v>8.7999999999999995E-2</v>
      </c>
      <c r="L35" s="52">
        <f>800*'Manpower Schedule'!K23/100000</f>
        <v>8.7999999999999995E-2</v>
      </c>
      <c r="M35"/>
      <c r="O35" s="68"/>
      <c r="P35" s="68"/>
      <c r="Q35" s="68"/>
    </row>
    <row r="36" spans="1:17" ht="26.25" x14ac:dyDescent="0.25">
      <c r="A36" s="51" t="s">
        <v>171</v>
      </c>
      <c r="B36" s="67" t="s">
        <v>635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/>
      <c r="O36" s="68"/>
      <c r="P36" s="68"/>
      <c r="Q36" s="68"/>
    </row>
    <row r="37" spans="1:17" ht="15" x14ac:dyDescent="0.25">
      <c r="A37" s="54" t="s">
        <v>172</v>
      </c>
      <c r="B37" s="67" t="s">
        <v>156</v>
      </c>
      <c r="C37" s="52">
        <f>500*'Output Schedule'!B17/100000</f>
        <v>6</v>
      </c>
      <c r="D37" s="52">
        <f>500*'Output Schedule'!C17/100000</f>
        <v>6.75</v>
      </c>
      <c r="E37" s="52">
        <f>500*'Output Schedule'!D17/100000</f>
        <v>7.5</v>
      </c>
      <c r="F37" s="52">
        <f>500*'Output Schedule'!E17/100000</f>
        <v>8.2500000000000018</v>
      </c>
      <c r="G37" s="52">
        <f>500*'Output Schedule'!F17/100000</f>
        <v>9</v>
      </c>
      <c r="H37" s="52">
        <f>500*'Output Schedule'!G17/100000</f>
        <v>9.75</v>
      </c>
      <c r="I37" s="52">
        <f>500*'Output Schedule'!H17/100000</f>
        <v>10.5</v>
      </c>
      <c r="J37" s="52">
        <f>500*'Output Schedule'!I17/100000</f>
        <v>11.25</v>
      </c>
      <c r="K37" s="52">
        <f>500*'Output Schedule'!J17/100000</f>
        <v>11.25</v>
      </c>
      <c r="L37" s="52">
        <f>500*'Output Schedule'!K17/100000</f>
        <v>12</v>
      </c>
      <c r="M37"/>
      <c r="O37" s="68"/>
      <c r="P37" s="68"/>
      <c r="Q37" s="68"/>
    </row>
    <row r="38" spans="1:17" ht="15" x14ac:dyDescent="0.25">
      <c r="A38" s="51" t="s">
        <v>157</v>
      </c>
      <c r="B38" s="69" t="s">
        <v>110</v>
      </c>
      <c r="C38" s="52">
        <f>300*'Output Schedule'!B37/100000</f>
        <v>0.36</v>
      </c>
      <c r="D38" s="52">
        <f>300*'Output Schedule'!C37/100000</f>
        <v>0.40799999999999997</v>
      </c>
      <c r="E38" s="52">
        <f>300*'Output Schedule'!D37/100000</f>
        <v>0.45</v>
      </c>
      <c r="F38" s="52">
        <f>300*'Output Schedule'!E37/100000</f>
        <v>0.498</v>
      </c>
      <c r="G38" s="52">
        <f>300*'Output Schedule'!F37/100000</f>
        <v>0.54</v>
      </c>
      <c r="H38" s="52">
        <f>300*'Output Schedule'!G37/100000</f>
        <v>0.58799999999999997</v>
      </c>
      <c r="I38" s="52">
        <f>300*'Output Schedule'!H37/100000</f>
        <v>0.63</v>
      </c>
      <c r="J38" s="52">
        <f>300*'Output Schedule'!I37/100000</f>
        <v>0.67800000000000005</v>
      </c>
      <c r="K38" s="52">
        <f>300*'Output Schedule'!J37/100000</f>
        <v>0.67800000000000005</v>
      </c>
      <c r="L38" s="52">
        <f>300*'Output Schedule'!K37/100000</f>
        <v>0.72</v>
      </c>
      <c r="M38"/>
      <c r="O38" s="68"/>
      <c r="P38" s="68"/>
      <c r="Q38" s="68"/>
    </row>
    <row r="39" spans="1:17" ht="15" x14ac:dyDescent="0.25">
      <c r="A39" s="51" t="s">
        <v>158</v>
      </c>
      <c r="B39" s="69" t="s">
        <v>159</v>
      </c>
      <c r="C39" s="52">
        <f>300*('Sales Schedule'!C2+'Sales Schedule'!C6+'Sales Schedule'!C10)/100000</f>
        <v>3.3780000000000001</v>
      </c>
      <c r="D39" s="52">
        <f>300*('Sales Schedule'!D2+'Sales Schedule'!D6+'Sales Schedule'!D10)/100000</f>
        <v>3.9119999999999999</v>
      </c>
      <c r="E39" s="52">
        <f>300*('Sales Schedule'!E2+'Sales Schedule'!E6+'Sales Schedule'!E10)/100000</f>
        <v>4.3529999999999998</v>
      </c>
      <c r="F39" s="52">
        <f>300*('Sales Schedule'!F2+'Sales Schedule'!F6+'Sales Schedule'!F10)/100000</f>
        <v>4.7850000000000001</v>
      </c>
      <c r="G39" s="52">
        <f>300*('Sales Schedule'!G2+'Sales Schedule'!G6+'Sales Schedule'!G10)/100000</f>
        <v>5.2169999999999996</v>
      </c>
      <c r="H39" s="52">
        <f>300*('Sales Schedule'!H2+'Sales Schedule'!H6+'Sales Schedule'!H10)/100000</f>
        <v>5.6550000000000002</v>
      </c>
      <c r="I39" s="52">
        <f>300*('Sales Schedule'!I2+'Sales Schedule'!I6+'Sales Schedule'!I10)/100000</f>
        <v>6.0960000000000001</v>
      </c>
      <c r="J39" s="52">
        <f>300*('Sales Schedule'!J2+'Sales Schedule'!J6+'Sales Schedule'!J10)/100000</f>
        <v>6.5309999999999997</v>
      </c>
      <c r="K39" s="52">
        <f>300*('Sales Schedule'!K2+'Sales Schedule'!K6+'Sales Schedule'!K10)/100000</f>
        <v>6.5490000000000004</v>
      </c>
      <c r="L39" s="52">
        <f>300*('Sales Schedule'!L2+'Sales Schedule'!L6+'Sales Schedule'!L10)/100000</f>
        <v>6.9630000000000001</v>
      </c>
      <c r="M39"/>
      <c r="O39" s="68"/>
      <c r="P39" s="68"/>
      <c r="Q39" s="68"/>
    </row>
    <row r="40" spans="1:17" ht="15" x14ac:dyDescent="0.25">
      <c r="A40" s="51" t="s">
        <v>160</v>
      </c>
      <c r="B40" s="69" t="s">
        <v>110</v>
      </c>
      <c r="C40" s="52">
        <f>300*'Output Schedule'!B37/100000</f>
        <v>0.36</v>
      </c>
      <c r="D40" s="52">
        <f>300*'Output Schedule'!C37/100000</f>
        <v>0.40799999999999997</v>
      </c>
      <c r="E40" s="52">
        <f>300*'Output Schedule'!D37/100000</f>
        <v>0.45</v>
      </c>
      <c r="F40" s="52">
        <f>300*'Output Schedule'!E37/100000</f>
        <v>0.498</v>
      </c>
      <c r="G40" s="52">
        <f>300*'Output Schedule'!F37/100000</f>
        <v>0.54</v>
      </c>
      <c r="H40" s="52">
        <f>300*'Output Schedule'!G37/100000</f>
        <v>0.58799999999999997</v>
      </c>
      <c r="I40" s="52">
        <f>300*'Output Schedule'!H37/100000</f>
        <v>0.63</v>
      </c>
      <c r="J40" s="52">
        <f>300*'Output Schedule'!I37/100000</f>
        <v>0.67800000000000005</v>
      </c>
      <c r="K40" s="52">
        <f>300*'Output Schedule'!J37/100000</f>
        <v>0.67800000000000005</v>
      </c>
      <c r="L40" s="52">
        <f>300*'Output Schedule'!K37/100000</f>
        <v>0.72</v>
      </c>
      <c r="M40"/>
      <c r="O40" s="68"/>
      <c r="P40" s="68"/>
      <c r="Q40" s="68"/>
    </row>
    <row r="41" spans="1:17" ht="15" x14ac:dyDescent="0.25">
      <c r="A41" s="51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/>
      <c r="O41" s="68"/>
      <c r="P41" s="68"/>
      <c r="Q41" s="68"/>
    </row>
    <row r="42" spans="1:17" x14ac:dyDescent="0.2">
      <c r="A42" s="62" t="s">
        <v>161</v>
      </c>
      <c r="B42" s="62"/>
      <c r="C42" s="66">
        <f>SUM(C30:C41)</f>
        <v>16.2988</v>
      </c>
      <c r="D42" s="66">
        <f t="shared" ref="D42:L42" si="22">SUM(D30:D41)</f>
        <v>18.916240000000002</v>
      </c>
      <c r="E42" s="66">
        <f t="shared" si="22"/>
        <v>21.41</v>
      </c>
      <c r="F42" s="66">
        <f t="shared" si="22"/>
        <v>24.111440000000005</v>
      </c>
      <c r="G42" s="66">
        <f t="shared" si="22"/>
        <v>26.770199999999996</v>
      </c>
      <c r="H42" s="66">
        <f t="shared" si="22"/>
        <v>29.663640000000004</v>
      </c>
      <c r="I42" s="66">
        <f t="shared" si="22"/>
        <v>32.505400000000002</v>
      </c>
      <c r="J42" s="66">
        <f t="shared" si="22"/>
        <v>34.89584</v>
      </c>
      <c r="K42" s="66">
        <f t="shared" si="22"/>
        <v>34.91384</v>
      </c>
      <c r="L42" s="66">
        <f t="shared" si="22"/>
        <v>37.132599999999996</v>
      </c>
      <c r="O42" s="68"/>
      <c r="P42" s="68"/>
      <c r="Q42" s="68"/>
    </row>
    <row r="43" spans="1:17" x14ac:dyDescent="0.2">
      <c r="O43" s="68"/>
      <c r="P43" s="68"/>
      <c r="Q43" s="68"/>
    </row>
    <row r="44" spans="1:17" x14ac:dyDescent="0.2">
      <c r="O44" s="68"/>
      <c r="P44" s="68"/>
      <c r="Q44" s="68"/>
    </row>
    <row r="45" spans="1:17" x14ac:dyDescent="0.2">
      <c r="O45" s="68"/>
      <c r="P45" s="68"/>
      <c r="Q45" s="68"/>
    </row>
    <row r="46" spans="1:17" x14ac:dyDescent="0.2">
      <c r="M46" s="70"/>
      <c r="O46" s="68"/>
      <c r="P46" s="68"/>
      <c r="Q46" s="68"/>
    </row>
    <row r="47" spans="1:17" x14ac:dyDescent="0.2">
      <c r="O47" s="68"/>
      <c r="P47" s="68"/>
      <c r="Q47" s="68"/>
    </row>
    <row r="48" spans="1:17" x14ac:dyDescent="0.2">
      <c r="O48" s="68"/>
      <c r="P48" s="68"/>
      <c r="Q48" s="68"/>
    </row>
    <row r="49" spans="15:17" x14ac:dyDescent="0.2">
      <c r="O49" s="68"/>
      <c r="P49" s="68"/>
      <c r="Q49" s="68"/>
    </row>
    <row r="50" spans="15:17" x14ac:dyDescent="0.2">
      <c r="O50" s="68"/>
      <c r="P50" s="68"/>
      <c r="Q50" s="68"/>
    </row>
    <row r="51" spans="15:17" x14ac:dyDescent="0.2">
      <c r="O51" s="68"/>
      <c r="P51" s="68"/>
      <c r="Q51" s="68"/>
    </row>
    <row r="52" spans="15:17" x14ac:dyDescent="0.2">
      <c r="O52" s="68"/>
      <c r="P52" s="68"/>
      <c r="Q52" s="68"/>
    </row>
    <row r="53" spans="15:17" x14ac:dyDescent="0.2">
      <c r="O53" s="68"/>
      <c r="P53" s="68"/>
      <c r="Q53" s="68"/>
    </row>
    <row r="54" spans="15:17" x14ac:dyDescent="0.2">
      <c r="O54" s="68"/>
      <c r="P54" s="68"/>
      <c r="Q54" s="68"/>
    </row>
    <row r="55" spans="15:17" x14ac:dyDescent="0.2">
      <c r="O55" s="68"/>
      <c r="P55" s="68"/>
      <c r="Q55" s="68"/>
    </row>
    <row r="56" spans="15:17" x14ac:dyDescent="0.2">
      <c r="O56" s="68"/>
      <c r="P56" s="68"/>
      <c r="Q56" s="68"/>
    </row>
    <row r="57" spans="15:17" x14ac:dyDescent="0.2">
      <c r="O57" s="68"/>
      <c r="P57" s="68"/>
      <c r="Q57" s="68"/>
    </row>
    <row r="58" spans="15:17" x14ac:dyDescent="0.2">
      <c r="O58" s="68"/>
      <c r="P58" s="68"/>
      <c r="Q58" s="68"/>
    </row>
    <row r="59" spans="15:17" s="70" customFormat="1" x14ac:dyDescent="0.2">
      <c r="O59" s="68"/>
      <c r="P59" s="68"/>
      <c r="Q59" s="68"/>
    </row>
    <row r="60" spans="15:17" x14ac:dyDescent="0.2">
      <c r="O60" s="68"/>
      <c r="P60" s="68"/>
      <c r="Q60" s="68"/>
    </row>
  </sheetData>
  <mergeCells count="4">
    <mergeCell ref="N2:Q2"/>
    <mergeCell ref="N6:Q6"/>
    <mergeCell ref="A4:L4"/>
    <mergeCell ref="A29:L29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04" t="s">
        <v>437</v>
      </c>
      <c r="B1" s="304"/>
      <c r="C1" s="304"/>
      <c r="D1" s="304"/>
      <c r="E1" s="304"/>
      <c r="F1" s="304"/>
      <c r="G1" s="304"/>
      <c r="H1" s="304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144</v>
      </c>
      <c r="B4" s="72">
        <f>'P&amp;L'!B25</f>
        <v>16.2988</v>
      </c>
      <c r="C4" s="72">
        <f>'P&amp;L'!C25</f>
        <v>18.916240000000002</v>
      </c>
      <c r="D4" s="72">
        <f>'P&amp;L'!D25</f>
        <v>21.41</v>
      </c>
      <c r="E4" s="72">
        <f>'P&amp;L'!E25</f>
        <v>24.111440000000005</v>
      </c>
      <c r="F4" s="72">
        <f>'P&amp;L'!F25</f>
        <v>26.770199999999996</v>
      </c>
      <c r="G4" s="72">
        <f>'P&amp;L'!G25</f>
        <v>29.663640000000004</v>
      </c>
      <c r="H4" s="72">
        <f>'P&amp;L'!H25</f>
        <v>32.505400000000002</v>
      </c>
    </row>
    <row r="5" spans="1:8" x14ac:dyDescent="0.25">
      <c r="A5" s="36" t="s">
        <v>113</v>
      </c>
      <c r="B5" s="73">
        <f>'P&amp;L'!B23</f>
        <v>8.1611676000000006</v>
      </c>
      <c r="C5" s="73">
        <f>'P&amp;L'!C23</f>
        <v>8.5692259800000006</v>
      </c>
      <c r="D5" s="73">
        <f>'P&amp;L'!D23</f>
        <v>8.9976872790000009</v>
      </c>
      <c r="E5" s="73">
        <f>'P&amp;L'!E23</f>
        <v>9.4475716429500025</v>
      </c>
      <c r="F5" s="73">
        <f>'P&amp;L'!F23</f>
        <v>9.9199502250975016</v>
      </c>
      <c r="G5" s="73">
        <f>'P&amp;L'!G23</f>
        <v>10.415947736352379</v>
      </c>
      <c r="H5" s="73">
        <f>'P&amp;L'!H23</f>
        <v>10.936745123169995</v>
      </c>
    </row>
    <row r="6" spans="1:8" hidden="1" x14ac:dyDescent="0.25">
      <c r="A6" s="36" t="s">
        <v>439</v>
      </c>
      <c r="B6" s="73">
        <f>'Purchase Schedule'!B6</f>
        <v>565.625</v>
      </c>
      <c r="C6" s="73">
        <f>'Purchase Schedule'!C6</f>
        <v>644.23559999999998</v>
      </c>
      <c r="D6" s="73">
        <f>'Purchase Schedule'!D6</f>
        <v>751.84230000000002</v>
      </c>
      <c r="E6" s="73">
        <f>'Purchase Schedule'!E6</f>
        <v>867.41279999999995</v>
      </c>
      <c r="F6" s="73">
        <f>'Purchase Schedule'!F6</f>
        <v>993.3</v>
      </c>
      <c r="G6" s="73">
        <f>'Purchase Schedule'!G6</f>
        <v>1129.5899999999999</v>
      </c>
      <c r="H6" s="73">
        <f>'Purchase Schedule'!H6</f>
        <v>1277.6848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438</v>
      </c>
      <c r="B8" s="44">
        <f>(B4+B5)/12</f>
        <v>2.0383306333333331</v>
      </c>
      <c r="C8" s="44">
        <f t="shared" ref="C8:H8" si="0">(C4+C5)/12</f>
        <v>2.2904554983333334</v>
      </c>
      <c r="D8" s="44">
        <f t="shared" si="0"/>
        <v>2.5339739399166668</v>
      </c>
      <c r="E8" s="44">
        <f t="shared" si="0"/>
        <v>2.7965843035791678</v>
      </c>
      <c r="F8" s="44">
        <f t="shared" si="0"/>
        <v>3.0575125187581249</v>
      </c>
      <c r="G8" s="44">
        <f t="shared" si="0"/>
        <v>3.3399656446960315</v>
      </c>
      <c r="H8" s="44">
        <f t="shared" si="0"/>
        <v>3.620178760264166</v>
      </c>
    </row>
    <row r="9" spans="1:8" x14ac:dyDescent="0.25">
      <c r="A9" s="36" t="s">
        <v>468</v>
      </c>
      <c r="B9" s="44">
        <f>'CS-RM'!B16+'CS-FG'!C52</f>
        <v>46.885000000000005</v>
      </c>
      <c r="C9" s="44">
        <f>'CS-RM'!C16+'CS-FG'!D52</f>
        <v>54.966099999999997</v>
      </c>
      <c r="D9" s="44">
        <f>'CS-RM'!D16+'CS-FG'!E52</f>
        <v>63.968400000000003</v>
      </c>
      <c r="E9" s="44">
        <f>'CS-RM'!E16+'CS-FG'!F52</f>
        <v>73.782200000000003</v>
      </c>
      <c r="F9" s="44">
        <f>'CS-RM'!F16+'CS-FG'!G52</f>
        <v>84.865600000000001</v>
      </c>
      <c r="G9" s="44">
        <f>'CS-RM'!G16+'CS-FG'!H52</f>
        <v>96.40379999999999</v>
      </c>
      <c r="H9" s="44">
        <f>'CS-RM'!H16+'CS-FG'!I52</f>
        <v>109.49080000000001</v>
      </c>
    </row>
    <row r="10" spans="1:8" x14ac:dyDescent="0.25">
      <c r="A10" s="36" t="s">
        <v>440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466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6">
        <f>SUM(B8:B11)</f>
        <v>48.923330633333336</v>
      </c>
      <c r="C12" s="176">
        <f t="shared" ref="C12:H12" si="1">SUM(C8:C11)</f>
        <v>57.256555498333327</v>
      </c>
      <c r="D12" s="176">
        <f t="shared" si="1"/>
        <v>66.502373939916666</v>
      </c>
      <c r="E12" s="176">
        <f t="shared" si="1"/>
        <v>76.57878430357917</v>
      </c>
      <c r="F12" s="176">
        <f t="shared" si="1"/>
        <v>87.923112518758131</v>
      </c>
      <c r="G12" s="176">
        <f t="shared" si="1"/>
        <v>99.743765644696026</v>
      </c>
      <c r="H12" s="176">
        <f t="shared" si="1"/>
        <v>113.11097876026417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173</v>
      </c>
      <c r="B14" s="42">
        <f>B12*0.25</f>
        <v>12.230832658333334</v>
      </c>
      <c r="C14" s="42">
        <f t="shared" ref="C14:H14" si="2">C12*0.25</f>
        <v>14.314138874583332</v>
      </c>
      <c r="D14" s="42">
        <f t="shared" si="2"/>
        <v>16.625593484979166</v>
      </c>
      <c r="E14" s="42">
        <f t="shared" si="2"/>
        <v>19.144696075894792</v>
      </c>
      <c r="F14" s="42">
        <f t="shared" si="2"/>
        <v>21.980778129689533</v>
      </c>
      <c r="G14" s="42">
        <f t="shared" si="2"/>
        <v>24.935941411174007</v>
      </c>
      <c r="H14" s="42">
        <f t="shared" si="2"/>
        <v>28.277744690066044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174</v>
      </c>
      <c r="B16" s="44">
        <f>B12-B14</f>
        <v>36.692497975000002</v>
      </c>
      <c r="C16" s="44">
        <f t="shared" ref="C16:H16" si="3">C12-C14</f>
        <v>42.942416623749992</v>
      </c>
      <c r="D16" s="44">
        <f t="shared" si="3"/>
        <v>49.876780454937503</v>
      </c>
      <c r="E16" s="44">
        <f t="shared" si="3"/>
        <v>57.434088227684377</v>
      </c>
      <c r="F16" s="44">
        <f t="shared" si="3"/>
        <v>65.942334389068606</v>
      </c>
      <c r="G16" s="44">
        <f t="shared" si="3"/>
        <v>74.807824233522012</v>
      </c>
      <c r="H16" s="44">
        <f t="shared" si="3"/>
        <v>84.833234070198131</v>
      </c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60" zoomScaleNormal="100" workbookViewId="0">
      <selection sqref="A1:L5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6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505</v>
      </c>
      <c r="K1" s="8" t="s">
        <v>506</v>
      </c>
      <c r="L1" s="8" t="s">
        <v>507</v>
      </c>
    </row>
    <row r="2" spans="1:12" x14ac:dyDescent="0.25">
      <c r="A2" s="174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4" t="s">
        <v>621</v>
      </c>
      <c r="B3" s="42">
        <f>+'Capital Cost'!C28</f>
        <v>4.031676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4" t="s">
        <v>622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4" t="s">
        <v>620</v>
      </c>
      <c r="B5" s="42"/>
      <c r="C5" s="42">
        <f>'P&amp;L'!B27</f>
        <v>0.40316760000000001</v>
      </c>
      <c r="D5" s="42">
        <f>'P&amp;L'!C27</f>
        <v>0.40316760000000001</v>
      </c>
      <c r="E5" s="42">
        <f>'P&amp;L'!D27</f>
        <v>0.40316760000000001</v>
      </c>
      <c r="F5" s="42">
        <f>'P&amp;L'!E27</f>
        <v>0.40316760000000001</v>
      </c>
      <c r="G5" s="42">
        <f>'P&amp;L'!F27</f>
        <v>0.40316760000000001</v>
      </c>
      <c r="H5" s="9">
        <f>'P&amp;L'!G27</f>
        <v>0.40316760000000001</v>
      </c>
      <c r="I5" s="9">
        <f>'P&amp;L'!H27</f>
        <v>0.40316760000000001</v>
      </c>
      <c r="J5" s="9">
        <f>'P&amp;L'!I27</f>
        <v>0.40316760000000001</v>
      </c>
      <c r="K5" s="9">
        <f>'P&amp;L'!J27</f>
        <v>0.40316760000000001</v>
      </c>
      <c r="L5" s="9">
        <f>'P&amp;L'!K27</f>
        <v>0.40316760000000001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topLeftCell="A6" zoomScale="60" zoomScaleNormal="100" workbookViewId="0">
      <selection activeCell="C13" sqref="C13"/>
    </sheetView>
  </sheetViews>
  <sheetFormatPr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7.85546875" style="1" bestFit="1" customWidth="1"/>
    <col min="10" max="16384" width="9.140625" style="1"/>
  </cols>
  <sheetData>
    <row r="2" spans="1:12" x14ac:dyDescent="0.25">
      <c r="A2" s="15" t="s">
        <v>434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505</v>
      </c>
      <c r="K2" s="15" t="s">
        <v>506</v>
      </c>
      <c r="L2" s="15" t="s">
        <v>507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3">
        <v>1</v>
      </c>
      <c r="B4" s="36" t="s">
        <v>400</v>
      </c>
      <c r="C4" s="72">
        <f>BS!C36</f>
        <v>23.064166666666665</v>
      </c>
      <c r="D4" s="72">
        <f>BS!D36</f>
        <v>28.163625</v>
      </c>
      <c r="E4" s="72">
        <f>BS!E36</f>
        <v>32.909191666666672</v>
      </c>
      <c r="F4" s="72">
        <f>BS!F36</f>
        <v>37.990987500000003</v>
      </c>
      <c r="G4" s="72">
        <f>BS!G36</f>
        <v>43.500312500000007</v>
      </c>
      <c r="H4" s="72">
        <f>BS!H36</f>
        <v>49.508312499999995</v>
      </c>
      <c r="I4" s="72">
        <f>BS!I36</f>
        <v>56.022324999999995</v>
      </c>
      <c r="J4" s="72">
        <f>BS!J36</f>
        <v>63.026137500000004</v>
      </c>
      <c r="K4" s="72">
        <f>BS!K36</f>
        <v>66.363804166666668</v>
      </c>
      <c r="L4" s="72">
        <f>BS!L36</f>
        <v>74.109975000000006</v>
      </c>
    </row>
    <row r="5" spans="1:12" x14ac:dyDescent="0.25">
      <c r="A5" s="173">
        <v>2</v>
      </c>
      <c r="B5" s="36" t="s">
        <v>401</v>
      </c>
      <c r="C5" s="72">
        <f>BS!C40+BS!C41</f>
        <v>46.885000000000005</v>
      </c>
      <c r="D5" s="72">
        <f>BS!D40+BS!D41</f>
        <v>54.966099999999997</v>
      </c>
      <c r="E5" s="72">
        <f>BS!E40+BS!E41</f>
        <v>63.968400000000003</v>
      </c>
      <c r="F5" s="72">
        <f>BS!F40+BS!F41</f>
        <v>73.782200000000003</v>
      </c>
      <c r="G5" s="72">
        <f>BS!G40+BS!G41</f>
        <v>84.865600000000001</v>
      </c>
      <c r="H5" s="72">
        <f>BS!H40+BS!H41</f>
        <v>96.40379999999999</v>
      </c>
      <c r="I5" s="72">
        <f>BS!I40+BS!I41</f>
        <v>109.49080000000001</v>
      </c>
      <c r="J5" s="72">
        <f>BS!J40+BS!J41</f>
        <v>123.00500000000001</v>
      </c>
      <c r="K5" s="72">
        <f>BS!K40+BS!K41</f>
        <v>129.15370000000001</v>
      </c>
      <c r="L5" s="72">
        <f>BS!L40+BS!L41</f>
        <v>144.6884</v>
      </c>
    </row>
    <row r="6" spans="1:12" x14ac:dyDescent="0.25">
      <c r="A6" s="173">
        <v>3</v>
      </c>
      <c r="B6" s="36" t="s">
        <v>402</v>
      </c>
      <c r="C6" s="73">
        <f>BS!C22</f>
        <v>49.173747300000002</v>
      </c>
      <c r="D6" s="73">
        <f>BS!D22</f>
        <v>55.97675549833334</v>
      </c>
      <c r="E6" s="73">
        <f>BS!E22</f>
        <v>65.187498939916665</v>
      </c>
      <c r="F6" s="73">
        <f>BS!F22</f>
        <v>75.080984303579172</v>
      </c>
      <c r="G6" s="73">
        <f>BS!G22</f>
        <v>85.832512518758122</v>
      </c>
      <c r="H6" s="73">
        <f>BS!H22</f>
        <v>97.472465644696015</v>
      </c>
      <c r="I6" s="73">
        <f>BS!I22</f>
        <v>110.0939120935975</v>
      </c>
      <c r="J6" s="73">
        <f>BS!J22</f>
        <v>123.56455186494402</v>
      </c>
      <c r="K6" s="73">
        <f>BS!K22</f>
        <v>129.2580501248579</v>
      </c>
      <c r="L6" s="73">
        <f>BS!L22</f>
        <v>144.88038746443414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4"/>
      <c r="B8" s="36" t="s">
        <v>435</v>
      </c>
      <c r="C8" s="44">
        <f t="shared" ref="C8:L8" si="0">C4+C5-C6</f>
        <v>20.775419366666668</v>
      </c>
      <c r="D8" s="44">
        <f t="shared" si="0"/>
        <v>27.152969501666654</v>
      </c>
      <c r="E8" s="44">
        <f t="shared" si="0"/>
        <v>31.690092726750009</v>
      </c>
      <c r="F8" s="44">
        <f t="shared" si="0"/>
        <v>36.692203196420834</v>
      </c>
      <c r="G8" s="44">
        <f t="shared" si="0"/>
        <v>42.533399981241885</v>
      </c>
      <c r="H8" s="44">
        <f t="shared" si="0"/>
        <v>48.439646855303963</v>
      </c>
      <c r="I8" s="44">
        <f t="shared" si="0"/>
        <v>55.419212906402507</v>
      </c>
      <c r="J8" s="44">
        <f t="shared" si="0"/>
        <v>62.466585635055978</v>
      </c>
      <c r="K8" s="44">
        <f t="shared" si="0"/>
        <v>66.259454041808794</v>
      </c>
      <c r="L8" s="44">
        <f t="shared" si="0"/>
        <v>73.917987535565885</v>
      </c>
    </row>
    <row r="9" spans="1:12" hidden="1" x14ac:dyDescent="0.25">
      <c r="A9" s="174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4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5"/>
      <c r="B11" s="10" t="s">
        <v>436</v>
      </c>
      <c r="C11" s="19">
        <f>C4+C5-C6</f>
        <v>20.775419366666668</v>
      </c>
      <c r="D11" s="19">
        <f t="shared" ref="D11:L11" si="1">D4+D5-D6</f>
        <v>27.152969501666654</v>
      </c>
      <c r="E11" s="19">
        <f t="shared" si="1"/>
        <v>31.690092726750009</v>
      </c>
      <c r="F11" s="19">
        <f t="shared" si="1"/>
        <v>36.692203196420834</v>
      </c>
      <c r="G11" s="19">
        <f t="shared" si="1"/>
        <v>42.533399981241885</v>
      </c>
      <c r="H11" s="19">
        <f t="shared" si="1"/>
        <v>48.439646855303963</v>
      </c>
      <c r="I11" s="19">
        <f t="shared" si="1"/>
        <v>55.419212906402507</v>
      </c>
      <c r="J11" s="19">
        <f t="shared" si="1"/>
        <v>62.466585635055978</v>
      </c>
      <c r="K11" s="19">
        <f t="shared" si="1"/>
        <v>66.259454041808794</v>
      </c>
      <c r="L11" s="19">
        <f t="shared" si="1"/>
        <v>73.917987535565885</v>
      </c>
    </row>
    <row r="12" spans="1:12" x14ac:dyDescent="0.25">
      <c r="A12" s="174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4"/>
      <c r="B13" s="36" t="s">
        <v>173</v>
      </c>
      <c r="C13" s="44">
        <f>C11*0.25</f>
        <v>5.193854841666667</v>
      </c>
      <c r="D13" s="44">
        <f t="shared" ref="D13:L13" si="2">D11*0.25</f>
        <v>6.7882423754166634</v>
      </c>
      <c r="E13" s="44">
        <f t="shared" si="2"/>
        <v>7.9225231816875024</v>
      </c>
      <c r="F13" s="44">
        <f t="shared" si="2"/>
        <v>9.1730507991052086</v>
      </c>
      <c r="G13" s="44">
        <f t="shared" si="2"/>
        <v>10.633349995310471</v>
      </c>
      <c r="H13" s="44">
        <f t="shared" si="2"/>
        <v>12.109911713825991</v>
      </c>
      <c r="I13" s="44">
        <f t="shared" si="2"/>
        <v>13.854803226600627</v>
      </c>
      <c r="J13" s="44">
        <f t="shared" si="2"/>
        <v>15.616646408763994</v>
      </c>
      <c r="K13" s="44">
        <f t="shared" si="2"/>
        <v>16.564863510452199</v>
      </c>
      <c r="L13" s="44">
        <f t="shared" si="2"/>
        <v>18.479496883891471</v>
      </c>
    </row>
    <row r="14" spans="1:12" x14ac:dyDescent="0.25">
      <c r="A14" s="174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4"/>
      <c r="B15" s="270" t="s">
        <v>634</v>
      </c>
      <c r="C15" s="44">
        <f>C11-C13</f>
        <v>15.581564525000001</v>
      </c>
      <c r="D15" s="44">
        <f t="shared" ref="D15:L15" si="3">D11-D13</f>
        <v>20.364727126249988</v>
      </c>
      <c r="E15" s="44">
        <f t="shared" si="3"/>
        <v>23.767569545062507</v>
      </c>
      <c r="F15" s="44">
        <f t="shared" si="3"/>
        <v>27.519152397315626</v>
      </c>
      <c r="G15" s="44">
        <f t="shared" si="3"/>
        <v>31.900049985931414</v>
      </c>
      <c r="H15" s="44">
        <f t="shared" si="3"/>
        <v>36.329735141477968</v>
      </c>
      <c r="I15" s="44">
        <f t="shared" si="3"/>
        <v>41.564409679801884</v>
      </c>
      <c r="J15" s="44">
        <f t="shared" si="3"/>
        <v>46.84993922629198</v>
      </c>
      <c r="K15" s="44">
        <f t="shared" si="3"/>
        <v>49.694590531356596</v>
      </c>
      <c r="L15" s="44">
        <f t="shared" si="3"/>
        <v>55.438490651674414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zoomScale="60" zoomScaleNormal="100" workbookViewId="0">
      <selection activeCell="A3" sqref="A3:K36"/>
    </sheetView>
  </sheetViews>
  <sheetFormatPr defaultRowHeight="15" x14ac:dyDescent="0.25"/>
  <cols>
    <col min="1" max="1" width="47.5703125" style="1" bestFit="1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05" t="s">
        <v>175</v>
      </c>
      <c r="B2" s="306"/>
      <c r="C2" s="306"/>
      <c r="D2" s="306"/>
      <c r="E2" s="306"/>
      <c r="F2" s="306"/>
      <c r="G2" s="306"/>
      <c r="H2" s="291"/>
      <c r="I2" s="291"/>
      <c r="J2" s="291"/>
      <c r="K2" s="291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505</v>
      </c>
      <c r="J3" s="74" t="s">
        <v>506</v>
      </c>
      <c r="K3" s="74" t="s">
        <v>507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176</v>
      </c>
      <c r="B5" s="45">
        <f>'Sales Schedule'!C18</f>
        <v>551.14</v>
      </c>
      <c r="C5" s="45">
        <f>'Sales Schedule'!D18</f>
        <v>673.09199999999998</v>
      </c>
      <c r="D5" s="45">
        <f>'Sales Schedule'!E18</f>
        <v>786.50560000000007</v>
      </c>
      <c r="E5" s="45">
        <f>'Sales Schedule'!F18</f>
        <v>907.95570000000009</v>
      </c>
      <c r="F5" s="45">
        <f>'Sales Schedule'!G18</f>
        <v>1039.6155000000001</v>
      </c>
      <c r="G5" s="45">
        <f>'Sales Schedule'!H18</f>
        <v>1183.2075</v>
      </c>
      <c r="H5" s="45">
        <f>'Sales Schedule'!I18</f>
        <v>1338.8868</v>
      </c>
      <c r="I5" s="45">
        <f>'Sales Schedule'!J18</f>
        <v>1506.2823000000001</v>
      </c>
      <c r="J5" s="45">
        <f>'Sales Schedule'!K18</f>
        <v>1586.0712999999998</v>
      </c>
      <c r="K5" s="45">
        <f>'Sales Schedule'!L18</f>
        <v>1771.1754000000001</v>
      </c>
    </row>
    <row r="6" spans="1:11" x14ac:dyDescent="0.25">
      <c r="A6" s="6" t="s">
        <v>633</v>
      </c>
      <c r="B6" s="45">
        <f>'Output Schedule'!B14</f>
        <v>2.4</v>
      </c>
      <c r="C6" s="45">
        <f>'Output Schedule'!C14</f>
        <v>2.835</v>
      </c>
      <c r="D6" s="45">
        <f>'Output Schedule'!D14</f>
        <v>3.3149999999999999</v>
      </c>
      <c r="E6" s="45">
        <f>'Output Schedule'!E14</f>
        <v>3.8280000000000007</v>
      </c>
      <c r="F6" s="45">
        <f>'Output Schedule'!F14</f>
        <v>4.3920000000000003</v>
      </c>
      <c r="G6" s="45">
        <f>'Output Schedule'!G14</f>
        <v>4.992</v>
      </c>
      <c r="H6" s="45">
        <f>'Output Schedule'!H14</f>
        <v>5.649</v>
      </c>
      <c r="I6" s="45">
        <f>'Output Schedule'!I14</f>
        <v>6.3449999999999998</v>
      </c>
      <c r="J6" s="45">
        <f>'Output Schedule'!J14</f>
        <v>6.66</v>
      </c>
      <c r="K6" s="45">
        <f>'Output Schedule'!K14</f>
        <v>7.4640000000000004</v>
      </c>
    </row>
    <row r="7" spans="1:11" hidden="1" x14ac:dyDescent="0.25">
      <c r="A7" s="6" t="s">
        <v>433</v>
      </c>
      <c r="B7" s="45">
        <f>'Farm Implement Business'!G10</f>
        <v>0</v>
      </c>
      <c r="C7" s="45">
        <f>'Farm Implement Business'!H10</f>
        <v>0</v>
      </c>
      <c r="D7" s="45">
        <f>'Farm Implement Business'!I10</f>
        <v>0</v>
      </c>
      <c r="E7" s="45">
        <f>'Farm Implement Business'!J10</f>
        <v>0</v>
      </c>
      <c r="F7" s="45">
        <f>'Farm Implement Business'!K10</f>
        <v>0</v>
      </c>
      <c r="G7" s="45">
        <f>'Farm Implement Business'!L10</f>
        <v>0</v>
      </c>
      <c r="H7" s="45">
        <f>'Farm Implement Business'!M10</f>
        <v>0</v>
      </c>
      <c r="I7" s="19"/>
      <c r="J7" s="243"/>
      <c r="K7" s="6"/>
    </row>
    <row r="8" spans="1:11" x14ac:dyDescent="0.25">
      <c r="A8" s="6"/>
      <c r="B8" s="19"/>
      <c r="C8" s="19"/>
      <c r="D8" s="19"/>
      <c r="E8" s="19"/>
      <c r="F8" s="19"/>
      <c r="G8" s="19"/>
      <c r="H8" s="19"/>
      <c r="I8" s="19"/>
      <c r="J8" s="6"/>
      <c r="K8" s="6"/>
    </row>
    <row r="9" spans="1:11" x14ac:dyDescent="0.25">
      <c r="A9" s="75" t="s">
        <v>177</v>
      </c>
      <c r="B9" s="22">
        <f>SUM(B5:B8)</f>
        <v>553.54</v>
      </c>
      <c r="C9" s="22">
        <f t="shared" ref="C9:K9" si="0">SUM(C5:C8)</f>
        <v>675.92700000000002</v>
      </c>
      <c r="D9" s="22">
        <f t="shared" si="0"/>
        <v>789.82060000000013</v>
      </c>
      <c r="E9" s="22">
        <f t="shared" si="0"/>
        <v>911.78370000000007</v>
      </c>
      <c r="F9" s="22">
        <f t="shared" si="0"/>
        <v>1044.0075000000002</v>
      </c>
      <c r="G9" s="22">
        <f t="shared" si="0"/>
        <v>1188.1994999999999</v>
      </c>
      <c r="H9" s="22">
        <f t="shared" si="0"/>
        <v>1344.5357999999999</v>
      </c>
      <c r="I9" s="22">
        <f t="shared" si="0"/>
        <v>1512.6273000000001</v>
      </c>
      <c r="J9" s="22">
        <f t="shared" si="0"/>
        <v>1592.7312999999999</v>
      </c>
      <c r="K9" s="22">
        <f t="shared" si="0"/>
        <v>1778.6394</v>
      </c>
    </row>
    <row r="10" spans="1:11" x14ac:dyDescent="0.25">
      <c r="A10" s="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76" t="s">
        <v>178</v>
      </c>
      <c r="B11" s="9">
        <f>'CS-FG'!C51</f>
        <v>0</v>
      </c>
      <c r="C11" s="9">
        <f>'CS-FG'!D51</f>
        <v>24.26</v>
      </c>
      <c r="D11" s="9">
        <f>'CS-FG'!E51</f>
        <v>28.360499999999998</v>
      </c>
      <c r="E11" s="9">
        <f>'CS-FG'!F51</f>
        <v>32.537700000000001</v>
      </c>
      <c r="F11" s="9">
        <f>'CS-FG'!G51</f>
        <v>37.64</v>
      </c>
      <c r="G11" s="9">
        <f>'CS-FG'!H51</f>
        <v>43.615600000000001</v>
      </c>
      <c r="H11" s="9">
        <f>'CS-FG'!I51</f>
        <v>49.626299999999993</v>
      </c>
      <c r="I11" s="9">
        <f>'CS-FG'!J51</f>
        <v>56.127600000000001</v>
      </c>
      <c r="J11" s="9">
        <f>'CS-FG'!K51</f>
        <v>63.155200000000008</v>
      </c>
      <c r="K11" s="9">
        <f>'CS-FG'!L51</f>
        <v>66.314700000000002</v>
      </c>
    </row>
    <row r="12" spans="1:11" x14ac:dyDescent="0.25">
      <c r="A12" s="77" t="s">
        <v>179</v>
      </c>
      <c r="B12" s="9">
        <f>'CS-FG'!C52</f>
        <v>24.26</v>
      </c>
      <c r="C12" s="9">
        <f>'CS-FG'!D52</f>
        <v>28.360499999999998</v>
      </c>
      <c r="D12" s="9">
        <f>'CS-FG'!E52</f>
        <v>32.537700000000001</v>
      </c>
      <c r="E12" s="9">
        <f>'CS-FG'!F52</f>
        <v>37.64</v>
      </c>
      <c r="F12" s="9">
        <f>'CS-FG'!G52</f>
        <v>43.615600000000001</v>
      </c>
      <c r="G12" s="9">
        <f>'CS-FG'!H52</f>
        <v>49.626299999999993</v>
      </c>
      <c r="H12" s="9">
        <f>'CS-FG'!I52</f>
        <v>56.127600000000001</v>
      </c>
      <c r="I12" s="9">
        <f>'CS-FG'!J52</f>
        <v>63.155200000000008</v>
      </c>
      <c r="J12" s="9">
        <f>'CS-FG'!K52</f>
        <v>66.314700000000002</v>
      </c>
      <c r="K12" s="9">
        <f>'CS-FG'!L52</f>
        <v>74.498400000000004</v>
      </c>
    </row>
    <row r="13" spans="1:11" x14ac:dyDescent="0.25">
      <c r="A13" s="77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78" t="s">
        <v>180</v>
      </c>
      <c r="B14" s="22">
        <f>B9+B12-B11</f>
        <v>577.79999999999995</v>
      </c>
      <c r="C14" s="22">
        <f t="shared" ref="C14:K14" si="1">C9+C12-C11</f>
        <v>680.02750000000003</v>
      </c>
      <c r="D14" s="22">
        <f t="shared" si="1"/>
        <v>793.9978000000001</v>
      </c>
      <c r="E14" s="22">
        <f t="shared" si="1"/>
        <v>916.88600000000008</v>
      </c>
      <c r="F14" s="22">
        <f t="shared" si="1"/>
        <v>1049.9831000000001</v>
      </c>
      <c r="G14" s="22">
        <f t="shared" si="1"/>
        <v>1194.2101999999998</v>
      </c>
      <c r="H14" s="22">
        <f t="shared" si="1"/>
        <v>1351.0371</v>
      </c>
      <c r="I14" s="22">
        <f t="shared" si="1"/>
        <v>1519.6549</v>
      </c>
      <c r="J14" s="22">
        <f t="shared" si="1"/>
        <v>1595.8907999999999</v>
      </c>
      <c r="K14" s="22">
        <f t="shared" si="1"/>
        <v>1786.8231000000001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181</v>
      </c>
      <c r="B16" s="19">
        <f>'Purchase Schedule'!B6</f>
        <v>565.625</v>
      </c>
      <c r="C16" s="19">
        <f>'Purchase Schedule'!C6</f>
        <v>644.23559999999998</v>
      </c>
      <c r="D16" s="19">
        <f>'Purchase Schedule'!D6</f>
        <v>751.84230000000002</v>
      </c>
      <c r="E16" s="19">
        <f>'Purchase Schedule'!E6</f>
        <v>867.41279999999995</v>
      </c>
      <c r="F16" s="19">
        <f>'Purchase Schedule'!F6</f>
        <v>993.3</v>
      </c>
      <c r="G16" s="19">
        <f>'Purchase Schedule'!G6</f>
        <v>1129.5899999999999</v>
      </c>
      <c r="H16" s="19">
        <f>'Purchase Schedule'!H6</f>
        <v>1277.6848</v>
      </c>
      <c r="I16" s="19">
        <f>'Purchase Schedule'!I6</f>
        <v>1436.3951999999999</v>
      </c>
      <c r="J16" s="19">
        <f>'Purchase Schedule'!J6</f>
        <v>1504.125</v>
      </c>
      <c r="K16" s="19">
        <f>'Purchase Schedule'!K6</f>
        <v>1688.7714000000001</v>
      </c>
    </row>
    <row r="17" spans="1:11" x14ac:dyDescent="0.25">
      <c r="A17" s="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76" t="s">
        <v>182</v>
      </c>
      <c r="B18" s="9">
        <f>'CS-RM'!B15</f>
        <v>0</v>
      </c>
      <c r="C18" s="9">
        <f>'CS-RM'!C15</f>
        <v>22.625</v>
      </c>
      <c r="D18" s="9">
        <f>'CS-RM'!D15</f>
        <v>26.605599999999999</v>
      </c>
      <c r="E18" s="9">
        <f>'CS-RM'!E15</f>
        <v>31.430700000000002</v>
      </c>
      <c r="F18" s="9">
        <f>'CS-RM'!F15</f>
        <v>36.142200000000003</v>
      </c>
      <c r="G18" s="9">
        <f>'CS-RM'!G15</f>
        <v>41.25</v>
      </c>
      <c r="H18" s="9">
        <f>'CS-RM'!H15</f>
        <v>46.777500000000003</v>
      </c>
      <c r="I18" s="9">
        <f>'CS-RM'!I15</f>
        <v>53.363199999999999</v>
      </c>
      <c r="J18" s="9">
        <f>'CS-RM'!J15</f>
        <v>59.849800000000002</v>
      </c>
      <c r="K18" s="9">
        <f>'CS-RM'!K15</f>
        <v>62.838999999999999</v>
      </c>
    </row>
    <row r="19" spans="1:11" x14ac:dyDescent="0.25">
      <c r="A19" s="77" t="s">
        <v>183</v>
      </c>
      <c r="B19" s="9">
        <f>'CS-RM'!B16</f>
        <v>22.625</v>
      </c>
      <c r="C19" s="9">
        <f>'CS-RM'!C16</f>
        <v>26.605599999999999</v>
      </c>
      <c r="D19" s="9">
        <f>'CS-RM'!D16</f>
        <v>31.430700000000002</v>
      </c>
      <c r="E19" s="9">
        <f>'CS-RM'!E16</f>
        <v>36.142200000000003</v>
      </c>
      <c r="F19" s="9">
        <f>'CS-RM'!F16</f>
        <v>41.25</v>
      </c>
      <c r="G19" s="9">
        <f>'CS-RM'!G16</f>
        <v>46.777500000000003</v>
      </c>
      <c r="H19" s="9">
        <f>'CS-RM'!H16</f>
        <v>53.363199999999999</v>
      </c>
      <c r="I19" s="9">
        <f>'CS-RM'!I16</f>
        <v>59.849800000000002</v>
      </c>
      <c r="J19" s="9">
        <f>'CS-RM'!J16</f>
        <v>62.838999999999999</v>
      </c>
      <c r="K19" s="9">
        <f>'CS-RM'!K16</f>
        <v>70.19</v>
      </c>
    </row>
    <row r="20" spans="1:11" x14ac:dyDescent="0.25">
      <c r="A20" s="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78" t="s">
        <v>184</v>
      </c>
      <c r="B21" s="22">
        <f>B16+B18-B19</f>
        <v>543</v>
      </c>
      <c r="C21" s="22">
        <f t="shared" ref="C21:K21" si="2">C16+C18-C19</f>
        <v>640.255</v>
      </c>
      <c r="D21" s="22">
        <f t="shared" si="2"/>
        <v>747.0172</v>
      </c>
      <c r="E21" s="22">
        <f t="shared" si="2"/>
        <v>862.70129999999995</v>
      </c>
      <c r="F21" s="22">
        <f t="shared" si="2"/>
        <v>988.19219999999996</v>
      </c>
      <c r="G21" s="22">
        <f t="shared" si="2"/>
        <v>1124.0625</v>
      </c>
      <c r="H21" s="22">
        <f t="shared" si="2"/>
        <v>1271.0990999999999</v>
      </c>
      <c r="I21" s="22">
        <f t="shared" si="2"/>
        <v>1429.9086</v>
      </c>
      <c r="J21" s="22">
        <f t="shared" si="2"/>
        <v>1501.1358</v>
      </c>
      <c r="K21" s="22">
        <f t="shared" si="2"/>
        <v>1681.4204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185</v>
      </c>
      <c r="B23" s="35">
        <f>'Opex Schedule'!C18+'Opex Schedule'!C27</f>
        <v>8.1611676000000006</v>
      </c>
      <c r="C23" s="35">
        <f>'Opex Schedule'!D18+'Opex Schedule'!D27</f>
        <v>8.5692259800000006</v>
      </c>
      <c r="D23" s="35">
        <f>'Opex Schedule'!E18+'Opex Schedule'!E27</f>
        <v>8.9976872790000009</v>
      </c>
      <c r="E23" s="35">
        <f>'Opex Schedule'!F18+'Opex Schedule'!F27</f>
        <v>9.4475716429500025</v>
      </c>
      <c r="F23" s="35">
        <f>'Opex Schedule'!G18+'Opex Schedule'!G27</f>
        <v>9.9199502250975016</v>
      </c>
      <c r="G23" s="35">
        <f>'Opex Schedule'!H18+'Opex Schedule'!H27</f>
        <v>10.415947736352379</v>
      </c>
      <c r="H23" s="35">
        <f>'Opex Schedule'!I18+'Opex Schedule'!I27</f>
        <v>10.936745123169995</v>
      </c>
      <c r="I23" s="35">
        <f>'Opex Schedule'!J18+'Opex Schedule'!J27</f>
        <v>11.483582379328496</v>
      </c>
      <c r="J23" s="35">
        <f>'Opex Schedule'!K18+'Opex Schedule'!K27</f>
        <v>12.057761498294921</v>
      </c>
      <c r="K23" s="35">
        <f>'Opex Schedule'!L18+'Opex Schedule'!L27</f>
        <v>12.660649573209669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186</v>
      </c>
      <c r="B25" s="22">
        <f>'Opex Schedule'!C42</f>
        <v>16.2988</v>
      </c>
      <c r="C25" s="22">
        <f>'Opex Schedule'!D42</f>
        <v>18.916240000000002</v>
      </c>
      <c r="D25" s="22">
        <f>'Opex Schedule'!E42</f>
        <v>21.41</v>
      </c>
      <c r="E25" s="22">
        <f>'Opex Schedule'!F42</f>
        <v>24.111440000000005</v>
      </c>
      <c r="F25" s="22">
        <f>'Opex Schedule'!G42</f>
        <v>26.770199999999996</v>
      </c>
      <c r="G25" s="22">
        <f>'Opex Schedule'!H42</f>
        <v>29.663640000000004</v>
      </c>
      <c r="H25" s="22">
        <f>'Opex Schedule'!I42</f>
        <v>32.505400000000002</v>
      </c>
      <c r="I25" s="22">
        <f>'Opex Schedule'!J42</f>
        <v>34.89584</v>
      </c>
      <c r="J25" s="22">
        <f>'Opex Schedule'!K42</f>
        <v>34.91384</v>
      </c>
      <c r="K25" s="22">
        <f>'Opex Schedule'!L42</f>
        <v>37.132599999999996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187</v>
      </c>
      <c r="B27" s="19">
        <f>'Project Glance'!B10/10</f>
        <v>0.40316760000000001</v>
      </c>
      <c r="C27" s="19">
        <f>B27</f>
        <v>0.40316760000000001</v>
      </c>
      <c r="D27" s="19">
        <f t="shared" ref="D27:K27" si="3">C27</f>
        <v>0.40316760000000001</v>
      </c>
      <c r="E27" s="19">
        <f t="shared" si="3"/>
        <v>0.40316760000000001</v>
      </c>
      <c r="F27" s="19">
        <f t="shared" si="3"/>
        <v>0.40316760000000001</v>
      </c>
      <c r="G27" s="19">
        <f t="shared" si="3"/>
        <v>0.40316760000000001</v>
      </c>
      <c r="H27" s="19">
        <f t="shared" si="3"/>
        <v>0.40316760000000001</v>
      </c>
      <c r="I27" s="19">
        <f t="shared" si="3"/>
        <v>0.40316760000000001</v>
      </c>
      <c r="J27" s="19">
        <f t="shared" si="3"/>
        <v>0.40316760000000001</v>
      </c>
      <c r="K27" s="19">
        <f t="shared" si="3"/>
        <v>0.40316760000000001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188</v>
      </c>
      <c r="B29" s="19">
        <f>B14-B21-B23-B25-B27</f>
        <v>9.936864799999956</v>
      </c>
      <c r="C29" s="19">
        <f t="shared" ref="C29:K29" si="4">C14-C21-C23-C25-C27</f>
        <v>11.883866420000036</v>
      </c>
      <c r="D29" s="19">
        <f t="shared" si="4"/>
        <v>16.169745121000091</v>
      </c>
      <c r="E29" s="19">
        <f t="shared" si="4"/>
        <v>20.222520757050127</v>
      </c>
      <c r="F29" s="19">
        <f t="shared" si="4"/>
        <v>24.697582174902696</v>
      </c>
      <c r="G29" s="19">
        <f t="shared" si="4"/>
        <v>29.664944663647375</v>
      </c>
      <c r="H29" s="19">
        <f t="shared" si="4"/>
        <v>36.092687276830098</v>
      </c>
      <c r="I29" s="19">
        <f t="shared" si="4"/>
        <v>42.96371002067152</v>
      </c>
      <c r="J29" s="19">
        <f t="shared" si="4"/>
        <v>47.380230901704955</v>
      </c>
      <c r="K29" s="19">
        <f t="shared" si="4"/>
        <v>55.206282826790428</v>
      </c>
    </row>
    <row r="30" spans="1:11" x14ac:dyDescent="0.25">
      <c r="A30" s="6" t="s">
        <v>189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190</v>
      </c>
      <c r="B31" s="9">
        <f>'WC Assessment'!C15*0.09</f>
        <v>1.4023408072500001</v>
      </c>
      <c r="C31" s="9">
        <f>'WC Assessment'!D15*0.09</f>
        <v>1.8328254413624989</v>
      </c>
      <c r="D31" s="9">
        <f>'WC Assessment'!E15*0.09</f>
        <v>2.1390812590556254</v>
      </c>
      <c r="E31" s="9">
        <f>'WC Assessment'!F15*0.09</f>
        <v>2.4767237157584061</v>
      </c>
      <c r="F31" s="9">
        <f>'WC Assessment'!G15*0.09</f>
        <v>2.8710044987338272</v>
      </c>
      <c r="G31" s="9">
        <f>'WC Assessment'!H15*0.09</f>
        <v>3.2696761627330169</v>
      </c>
      <c r="H31" s="9">
        <f>'WC Assessment'!I15*0.09</f>
        <v>3.7407968711821695</v>
      </c>
      <c r="I31" s="9">
        <f>'WC Assessment'!J15*0.09</f>
        <v>4.216494530366278</v>
      </c>
      <c r="J31" s="9">
        <f>'WC Assessment'!K15*0.09</f>
        <v>4.4725131478220934</v>
      </c>
      <c r="K31" s="9">
        <f>'WC Assessment'!L15*0.09</f>
        <v>4.9894641586506969</v>
      </c>
    </row>
    <row r="32" spans="1:11" x14ac:dyDescent="0.25">
      <c r="A32" s="6" t="s">
        <v>191</v>
      </c>
      <c r="B32" s="19">
        <f>Depn!C20</f>
        <v>3.2839418159999996</v>
      </c>
      <c r="C32" s="19">
        <f>Depn!D20</f>
        <v>3.2839418159999996</v>
      </c>
      <c r="D32" s="19">
        <f>Depn!E20</f>
        <v>3.2839418159999996</v>
      </c>
      <c r="E32" s="19">
        <f>Depn!F20</f>
        <v>3.2839418159999996</v>
      </c>
      <c r="F32" s="19">
        <f>Depn!G20</f>
        <v>3.2839418159999996</v>
      </c>
      <c r="G32" s="19">
        <f>Depn!H20</f>
        <v>3.2839418159999996</v>
      </c>
      <c r="H32" s="19">
        <f>Depn!I20</f>
        <v>3.2839418159999996</v>
      </c>
      <c r="I32" s="19">
        <f>Depn!J20</f>
        <v>3.2839418159999996</v>
      </c>
      <c r="J32" s="19">
        <f>Depn!K20</f>
        <v>3.2839418159999996</v>
      </c>
      <c r="K32" s="19">
        <f>Depn!L20</f>
        <v>3.2839418159999996</v>
      </c>
    </row>
    <row r="33" spans="1:13" x14ac:dyDescent="0.25">
      <c r="A33" s="6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6" t="s">
        <v>192</v>
      </c>
      <c r="B34" s="19">
        <f>B29-B30-B31-B32</f>
        <v>5.2505821767499556</v>
      </c>
      <c r="C34" s="19">
        <f t="shared" ref="C34:K34" si="5">C29-C30-C31-C32</f>
        <v>6.7670991626375381</v>
      </c>
      <c r="D34" s="19">
        <f t="shared" si="5"/>
        <v>10.746722045944466</v>
      </c>
      <c r="E34" s="19">
        <f t="shared" si="5"/>
        <v>14.461855225291721</v>
      </c>
      <c r="F34" s="19">
        <f t="shared" si="5"/>
        <v>18.542635860168868</v>
      </c>
      <c r="G34" s="19">
        <f t="shared" si="5"/>
        <v>23.11132668491436</v>
      </c>
      <c r="H34" s="19">
        <f t="shared" si="5"/>
        <v>29.06794858964793</v>
      </c>
      <c r="I34" s="19">
        <f t="shared" si="5"/>
        <v>35.463273674305242</v>
      </c>
      <c r="J34" s="19">
        <f t="shared" si="5"/>
        <v>39.623775937882861</v>
      </c>
      <c r="K34" s="19">
        <f t="shared" si="5"/>
        <v>46.932876852139728</v>
      </c>
    </row>
    <row r="35" spans="1:13" x14ac:dyDescent="0.25">
      <c r="A35" s="6" t="s">
        <v>195</v>
      </c>
      <c r="B35" s="19">
        <f>Tax!B12</f>
        <v>0</v>
      </c>
      <c r="C35" s="19">
        <f>Tax!C12</f>
        <v>0.78323135576627412</v>
      </c>
      <c r="D35" s="19">
        <f>Tax!D12</f>
        <v>1.9396915595833393</v>
      </c>
      <c r="E35" s="19">
        <f>Tax!E12</f>
        <v>3.3065311112375158</v>
      </c>
      <c r="F35" s="19">
        <f>Tax!F12</f>
        <v>4.7522183598731598</v>
      </c>
      <c r="G35" s="19">
        <f>Tax!G12</f>
        <v>6.3173592667434324</v>
      </c>
      <c r="H35" s="19">
        <f>Tax!H12</f>
        <v>8.2753681526931349</v>
      </c>
      <c r="I35" s="19">
        <f>Tax!I12</f>
        <v>10.344436479040516</v>
      </c>
      <c r="J35" s="19">
        <f>Tax!J12</f>
        <v>11.725078989161458</v>
      </c>
      <c r="K35" s="19">
        <f>Tax!K12</f>
        <v>14.03455980504503</v>
      </c>
      <c r="M35" s="13"/>
    </row>
    <row r="36" spans="1:13" x14ac:dyDescent="0.25">
      <c r="A36" s="8" t="s">
        <v>193</v>
      </c>
      <c r="B36" s="22">
        <f>B34-B35</f>
        <v>5.2505821767499556</v>
      </c>
      <c r="C36" s="22">
        <f t="shared" ref="C36:K36" si="6">C34-C35</f>
        <v>5.9838678068712641</v>
      </c>
      <c r="D36" s="22">
        <f t="shared" si="6"/>
        <v>8.8070304863611266</v>
      </c>
      <c r="E36" s="22">
        <f t="shared" si="6"/>
        <v>11.155324114054206</v>
      </c>
      <c r="F36" s="22">
        <f t="shared" si="6"/>
        <v>13.790417500295709</v>
      </c>
      <c r="G36" s="22">
        <f t="shared" si="6"/>
        <v>16.793967418170929</v>
      </c>
      <c r="H36" s="22">
        <f t="shared" si="6"/>
        <v>20.792580436954793</v>
      </c>
      <c r="I36" s="22">
        <f t="shared" si="6"/>
        <v>25.118837195264724</v>
      </c>
      <c r="J36" s="22">
        <f t="shared" si="6"/>
        <v>27.898696948721401</v>
      </c>
      <c r="K36" s="22">
        <f t="shared" si="6"/>
        <v>32.8983170470947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3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194</v>
      </c>
      <c r="B41" s="19">
        <f>B36</f>
        <v>5.2505821767499556</v>
      </c>
      <c r="C41" s="19">
        <f>B41+C36</f>
        <v>11.23444998362122</v>
      </c>
      <c r="D41" s="19">
        <f t="shared" ref="D41:K41" si="7">C41+D36</f>
        <v>20.041480469982346</v>
      </c>
      <c r="E41" s="19">
        <f t="shared" si="7"/>
        <v>31.196804584036553</v>
      </c>
      <c r="F41" s="19">
        <f t="shared" si="7"/>
        <v>44.987222084332259</v>
      </c>
      <c r="G41" s="19">
        <f t="shared" si="7"/>
        <v>61.781189502503189</v>
      </c>
      <c r="H41" s="19">
        <f t="shared" si="7"/>
        <v>82.573769939457975</v>
      </c>
      <c r="I41" s="19">
        <f t="shared" si="7"/>
        <v>107.69260713472269</v>
      </c>
      <c r="J41" s="19">
        <f t="shared" si="7"/>
        <v>135.5913040834441</v>
      </c>
      <c r="K41" s="19">
        <f t="shared" si="7"/>
        <v>168.48962113053881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view="pageBreakPreview" topLeftCell="A12" zoomScale="85" zoomScaleNormal="100" zoomScaleSheetLayoutView="85" workbookViewId="0">
      <selection activeCell="A4" sqref="A4:K12"/>
    </sheetView>
  </sheetViews>
  <sheetFormatPr defaultRowHeight="15" x14ac:dyDescent="0.25"/>
  <cols>
    <col min="1" max="1" width="22.85546875" customWidth="1"/>
  </cols>
  <sheetData>
    <row r="3" spans="1:11" x14ac:dyDescent="0.25">
      <c r="A3" s="305" t="s">
        <v>295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505</v>
      </c>
      <c r="J4" s="17" t="s">
        <v>506</v>
      </c>
      <c r="K4" s="17" t="s">
        <v>507</v>
      </c>
    </row>
    <row r="5" spans="1:11" x14ac:dyDescent="0.25">
      <c r="A5" s="6" t="s">
        <v>296</v>
      </c>
      <c r="B5" s="19">
        <f>'P&amp;L'!B34</f>
        <v>5.2505821767499556</v>
      </c>
      <c r="C5" s="19">
        <f>'P&amp;L'!C34</f>
        <v>6.7670991626375381</v>
      </c>
      <c r="D5" s="19">
        <f>'P&amp;L'!D34</f>
        <v>10.746722045944466</v>
      </c>
      <c r="E5" s="19">
        <f>'P&amp;L'!E34</f>
        <v>14.461855225291721</v>
      </c>
      <c r="F5" s="19">
        <f>'P&amp;L'!F34</f>
        <v>18.542635860168868</v>
      </c>
      <c r="G5" s="19">
        <f>'P&amp;L'!G34</f>
        <v>23.11132668491436</v>
      </c>
      <c r="H5" s="19">
        <f>'P&amp;L'!H34</f>
        <v>29.06794858964793</v>
      </c>
      <c r="I5" s="19">
        <f>'P&amp;L'!I34</f>
        <v>35.463273674305242</v>
      </c>
      <c r="J5" s="19">
        <f>'P&amp;L'!J34</f>
        <v>39.623775937882861</v>
      </c>
      <c r="K5" s="19">
        <f>'P&amp;L'!K34</f>
        <v>46.932876852139728</v>
      </c>
    </row>
    <row r="6" spans="1:11" ht="30" x14ac:dyDescent="0.25">
      <c r="A6" s="10" t="s">
        <v>297</v>
      </c>
      <c r="B6" s="19">
        <f>'P&amp;L'!B32</f>
        <v>3.2839418159999996</v>
      </c>
      <c r="C6" s="19">
        <f>'P&amp;L'!C32</f>
        <v>3.2839418159999996</v>
      </c>
      <c r="D6" s="19">
        <f>'P&amp;L'!D32</f>
        <v>3.2839418159999996</v>
      </c>
      <c r="E6" s="19">
        <f>'P&amp;L'!E32</f>
        <v>3.2839418159999996</v>
      </c>
      <c r="F6" s="19">
        <f>'P&amp;L'!F32</f>
        <v>3.2839418159999996</v>
      </c>
      <c r="G6" s="19">
        <f>'P&amp;L'!G32</f>
        <v>3.2839418159999996</v>
      </c>
      <c r="H6" s="19">
        <f>'P&amp;L'!H32</f>
        <v>3.2839418159999996</v>
      </c>
      <c r="I6" s="19">
        <f>'P&amp;L'!I32</f>
        <v>3.2839418159999996</v>
      </c>
      <c r="J6" s="19">
        <f>'P&amp;L'!J32</f>
        <v>3.2839418159999996</v>
      </c>
      <c r="K6" s="19">
        <f>'P&amp;L'!K32</f>
        <v>3.2839418159999996</v>
      </c>
    </row>
    <row r="7" spans="1:11" ht="30" x14ac:dyDescent="0.25">
      <c r="A7" s="10" t="s">
        <v>298</v>
      </c>
      <c r="B7" s="19">
        <f>Depn!P20</f>
        <v>9.2150280000000002</v>
      </c>
      <c r="C7" s="19">
        <f>Depn!Q20</f>
        <v>8.120773800000002</v>
      </c>
      <c r="D7" s="19">
        <f>Depn!R20</f>
        <v>7.1618577300000004</v>
      </c>
      <c r="E7" s="19">
        <f>Depn!S20</f>
        <v>6.320859070500001</v>
      </c>
      <c r="F7" s="19">
        <f>Depn!T20</f>
        <v>5.5826822099250002</v>
      </c>
      <c r="G7" s="19">
        <f>Depn!U20</f>
        <v>4.9342366784362506</v>
      </c>
      <c r="H7" s="19">
        <f>Depn!V20</f>
        <v>4.3641622966708136</v>
      </c>
      <c r="I7" s="19">
        <f>Depn!W20</f>
        <v>3.8625929601701907</v>
      </c>
      <c r="J7" s="19">
        <f>Depn!X20</f>
        <v>3.4209535233446622</v>
      </c>
      <c r="K7" s="19">
        <f>Depn!Y20</f>
        <v>3.0317850513229629</v>
      </c>
    </row>
    <row r="8" spans="1:11" x14ac:dyDescent="0.25">
      <c r="A8" s="10" t="s">
        <v>299</v>
      </c>
      <c r="B8" s="19">
        <f>'P&amp;L'!B27</f>
        <v>0.40316760000000001</v>
      </c>
      <c r="C8" s="19">
        <f>'P&amp;L'!C27</f>
        <v>0.40316760000000001</v>
      </c>
      <c r="D8" s="19">
        <f>'P&amp;L'!D27</f>
        <v>0.40316760000000001</v>
      </c>
      <c r="E8" s="19">
        <f>'P&amp;L'!E27</f>
        <v>0.40316760000000001</v>
      </c>
      <c r="F8" s="19">
        <f>'P&amp;L'!F27</f>
        <v>0.40316760000000001</v>
      </c>
      <c r="G8" s="19">
        <f>'P&amp;L'!G27</f>
        <v>0.40316760000000001</v>
      </c>
      <c r="H8" s="19">
        <f>'P&amp;L'!H27</f>
        <v>0.40316760000000001</v>
      </c>
      <c r="I8" s="19">
        <f>'P&amp;L'!I27</f>
        <v>0.40316760000000001</v>
      </c>
      <c r="J8" s="19">
        <f>'P&amp;L'!J27</f>
        <v>0.40316760000000001</v>
      </c>
      <c r="K8" s="19">
        <f>'P&amp;L'!K27</f>
        <v>0.40316760000000001</v>
      </c>
    </row>
    <row r="9" spans="1:11" x14ac:dyDescent="0.25">
      <c r="A9" s="10" t="s">
        <v>300</v>
      </c>
      <c r="B9" s="19">
        <f>B5+B6-B7-B8</f>
        <v>-1.083671607250045</v>
      </c>
      <c r="C9" s="19">
        <f t="shared" ref="C9:K9" si="0">C5+C6-C7-C8</f>
        <v>1.5270995786375356</v>
      </c>
      <c r="D9" s="19">
        <f t="shared" si="0"/>
        <v>6.4656385319444647</v>
      </c>
      <c r="E9" s="19">
        <f t="shared" si="0"/>
        <v>11.021770370791719</v>
      </c>
      <c r="F9" s="19">
        <f t="shared" si="0"/>
        <v>15.840727866243867</v>
      </c>
      <c r="G9" s="19">
        <f t="shared" si="0"/>
        <v>21.057864222478109</v>
      </c>
      <c r="H9" s="19">
        <f t="shared" si="0"/>
        <v>27.584560508977116</v>
      </c>
      <c r="I9" s="19">
        <f t="shared" si="0"/>
        <v>34.481454930135051</v>
      </c>
      <c r="J9" s="19">
        <f t="shared" si="0"/>
        <v>39.083596630538196</v>
      </c>
      <c r="K9" s="19">
        <f t="shared" si="0"/>
        <v>46.781866016816764</v>
      </c>
    </row>
    <row r="10" spans="1:11" x14ac:dyDescent="0.25">
      <c r="A10" s="10" t="s">
        <v>650</v>
      </c>
      <c r="B10" s="19">
        <v>0</v>
      </c>
      <c r="C10" s="19">
        <f>+B11</f>
        <v>1.083671607250045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0" t="s">
        <v>651</v>
      </c>
      <c r="B11" s="19">
        <f>-B9</f>
        <v>1.083671607250045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83" t="s">
        <v>645</v>
      </c>
      <c r="B12" s="22">
        <v>0</v>
      </c>
      <c r="C12" s="22">
        <f>+(C9+C10)*0.3</f>
        <v>0.78323135576627412</v>
      </c>
      <c r="D12" s="22">
        <f t="shared" ref="D12:K12" si="1">D9*0.3</f>
        <v>1.9396915595833393</v>
      </c>
      <c r="E12" s="22">
        <f t="shared" si="1"/>
        <v>3.3065311112375158</v>
      </c>
      <c r="F12" s="22">
        <f t="shared" si="1"/>
        <v>4.7522183598731598</v>
      </c>
      <c r="G12" s="22">
        <f t="shared" si="1"/>
        <v>6.3173592667434324</v>
      </c>
      <c r="H12" s="22">
        <f t="shared" si="1"/>
        <v>8.2753681526931349</v>
      </c>
      <c r="I12" s="22">
        <f t="shared" si="1"/>
        <v>10.344436479040516</v>
      </c>
      <c r="J12" s="22">
        <f t="shared" si="1"/>
        <v>11.725078989161458</v>
      </c>
      <c r="K12" s="22">
        <f t="shared" si="1"/>
        <v>14.03455980504503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zoomScale="60" zoomScaleNormal="100" workbookViewId="0">
      <selection activeCell="K28" sqref="K28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32"/>
      <c r="B1" s="133" t="s">
        <v>404</v>
      </c>
    </row>
    <row r="2" spans="1:12" x14ac:dyDescent="0.25">
      <c r="A2" s="2">
        <v>1</v>
      </c>
      <c r="B2" s="3" t="s">
        <v>376</v>
      </c>
    </row>
    <row r="3" spans="1:12" x14ac:dyDescent="0.25">
      <c r="A3" s="134" t="s">
        <v>337</v>
      </c>
      <c r="B3" s="1" t="s">
        <v>377</v>
      </c>
      <c r="C3" s="1" t="s">
        <v>630</v>
      </c>
    </row>
    <row r="4" spans="1:12" x14ac:dyDescent="0.25">
      <c r="A4" s="134" t="s">
        <v>338</v>
      </c>
      <c r="B4" s="1" t="s">
        <v>378</v>
      </c>
      <c r="C4" s="1" t="s">
        <v>630</v>
      </c>
    </row>
    <row r="6" spans="1:12" x14ac:dyDescent="0.25">
      <c r="A6" s="2">
        <v>2</v>
      </c>
      <c r="B6" s="3" t="s">
        <v>368</v>
      </c>
      <c r="C6" s="3" t="s">
        <v>379</v>
      </c>
      <c r="D6" s="3" t="s">
        <v>462</v>
      </c>
    </row>
    <row r="7" spans="1:12" x14ac:dyDescent="0.25">
      <c r="B7" s="1" t="s">
        <v>380</v>
      </c>
      <c r="C7" s="82">
        <v>3.1699999999999999E-2</v>
      </c>
      <c r="D7" s="82">
        <v>6.3299999999999995E-2</v>
      </c>
    </row>
    <row r="8" spans="1:12" x14ac:dyDescent="0.25">
      <c r="B8" s="1" t="s">
        <v>381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382</v>
      </c>
      <c r="C10" s="3" t="s">
        <v>64</v>
      </c>
    </row>
    <row r="12" spans="1:12" x14ac:dyDescent="0.25">
      <c r="A12" s="2">
        <v>4</v>
      </c>
      <c r="B12" s="3" t="s">
        <v>147</v>
      </c>
      <c r="C12" s="129" t="s">
        <v>36</v>
      </c>
      <c r="D12" s="129" t="s">
        <v>37</v>
      </c>
      <c r="E12" s="129" t="s">
        <v>38</v>
      </c>
      <c r="F12" s="129" t="s">
        <v>39</v>
      </c>
      <c r="G12" s="129" t="s">
        <v>40</v>
      </c>
      <c r="H12" s="129" t="s">
        <v>41</v>
      </c>
      <c r="I12" s="129" t="s">
        <v>42</v>
      </c>
      <c r="J12" s="219" t="s">
        <v>505</v>
      </c>
      <c r="K12" s="219" t="s">
        <v>506</v>
      </c>
      <c r="L12" s="219" t="s">
        <v>507</v>
      </c>
    </row>
    <row r="13" spans="1:12" x14ac:dyDescent="0.25">
      <c r="A13" s="134" t="s">
        <v>337</v>
      </c>
      <c r="B13" s="128" t="s">
        <v>383</v>
      </c>
      <c r="C13" s="130">
        <f>'Output Schedule'!B8</f>
        <v>0.4</v>
      </c>
      <c r="D13" s="130">
        <f>'Output Schedule'!C8</f>
        <v>0.45</v>
      </c>
      <c r="E13" s="130">
        <f>'Output Schedule'!D8</f>
        <v>0.5</v>
      </c>
      <c r="F13" s="130">
        <f>'Output Schedule'!E8</f>
        <v>0.55000000000000004</v>
      </c>
      <c r="G13" s="130">
        <f>'Output Schedule'!F8</f>
        <v>0.6</v>
      </c>
      <c r="H13" s="130">
        <f>'Output Schedule'!G8</f>
        <v>0.65</v>
      </c>
      <c r="I13" s="130">
        <f>'Output Schedule'!H8</f>
        <v>0.7</v>
      </c>
      <c r="J13" s="130">
        <f>'Output Schedule'!I8</f>
        <v>0.75</v>
      </c>
      <c r="K13" s="130">
        <f>'Output Schedule'!J8</f>
        <v>0.75</v>
      </c>
      <c r="L13" s="130">
        <f>'Output Schedule'!K8</f>
        <v>0.8</v>
      </c>
    </row>
    <row r="14" spans="1:12" x14ac:dyDescent="0.25">
      <c r="A14" s="134" t="s">
        <v>338</v>
      </c>
      <c r="B14" s="128" t="s">
        <v>167</v>
      </c>
      <c r="C14" s="130">
        <f>'Output Schedule'!B9</f>
        <v>0.4</v>
      </c>
      <c r="D14" s="130">
        <f>'Output Schedule'!C9</f>
        <v>0.45</v>
      </c>
      <c r="E14" s="130">
        <f>'Output Schedule'!D9</f>
        <v>0.5</v>
      </c>
      <c r="F14" s="130">
        <f>'Output Schedule'!E9</f>
        <v>0.55000000000000004</v>
      </c>
      <c r="G14" s="130">
        <f>'Output Schedule'!F9</f>
        <v>0.6</v>
      </c>
      <c r="H14" s="130">
        <f>'Output Schedule'!G9</f>
        <v>0.65</v>
      </c>
      <c r="I14" s="130">
        <f>'Output Schedule'!H9</f>
        <v>0.7</v>
      </c>
      <c r="J14" s="130">
        <f>'Output Schedule'!I9</f>
        <v>0.75</v>
      </c>
      <c r="K14" s="130">
        <f>'Output Schedule'!J9</f>
        <v>0.75</v>
      </c>
      <c r="L14" s="130">
        <f>'Output Schedule'!K9</f>
        <v>0.8</v>
      </c>
    </row>
    <row r="15" spans="1:12" hidden="1" x14ac:dyDescent="0.25">
      <c r="A15" s="134" t="s">
        <v>339</v>
      </c>
      <c r="B15" s="128" t="s">
        <v>461</v>
      </c>
      <c r="C15" s="130">
        <f>'Farm Implement Business'!G4</f>
        <v>0.4</v>
      </c>
      <c r="D15" s="130">
        <f>'Farm Implement Business'!H4</f>
        <v>0.5</v>
      </c>
      <c r="E15" s="130">
        <f>'Farm Implement Business'!I4</f>
        <v>0.55000000000000004</v>
      </c>
      <c r="F15" s="130">
        <f>'Farm Implement Business'!J4</f>
        <v>0.60000000000000009</v>
      </c>
      <c r="G15" s="130">
        <f>'Farm Implement Business'!K4</f>
        <v>0.65000000000000013</v>
      </c>
      <c r="H15" s="130">
        <f>'Farm Implement Business'!L4</f>
        <v>0.65000000000000013</v>
      </c>
      <c r="I15" s="130">
        <f>'Farm Implement Business'!M4</f>
        <v>0.65000000000000013</v>
      </c>
    </row>
    <row r="17" spans="1:12" x14ac:dyDescent="0.25">
      <c r="A17" s="2">
        <v>5</v>
      </c>
      <c r="B17" s="3" t="s">
        <v>384</v>
      </c>
    </row>
    <row r="18" spans="1:12" x14ac:dyDescent="0.25">
      <c r="A18" s="134" t="s">
        <v>337</v>
      </c>
      <c r="B18" s="128" t="str">
        <f>+'Output Schedule'!A20</f>
        <v>Polished Rice</v>
      </c>
      <c r="C18" s="268">
        <f>+'Output Schedule'!L20</f>
        <v>0.93500000000000005</v>
      </c>
    </row>
    <row r="19" spans="1:12" x14ac:dyDescent="0.25">
      <c r="A19" s="134" t="s">
        <v>338</v>
      </c>
      <c r="B19" s="128" t="str">
        <f>+'Output Schedule'!A21</f>
        <v>Raw Jari</v>
      </c>
      <c r="C19" s="268">
        <f>+'Output Schedule'!L21</f>
        <v>1.4999999999999999E-2</v>
      </c>
    </row>
    <row r="20" spans="1:12" x14ac:dyDescent="0.25">
      <c r="A20" s="134" t="s">
        <v>339</v>
      </c>
      <c r="B20" s="128" t="str">
        <f>+'Output Schedule'!A22</f>
        <v>Broken</v>
      </c>
      <c r="C20" s="268">
        <f>+'Output Schedule'!L22</f>
        <v>0.03</v>
      </c>
    </row>
    <row r="21" spans="1:12" x14ac:dyDescent="0.25">
      <c r="A21" s="134" t="s">
        <v>442</v>
      </c>
      <c r="B21" s="128" t="str">
        <f>+'Output Schedule'!A23</f>
        <v>Powder</v>
      </c>
      <c r="C21" s="268">
        <f>+'Output Schedule'!L23</f>
        <v>0.02</v>
      </c>
    </row>
    <row r="23" spans="1:12" x14ac:dyDescent="0.25">
      <c r="A23" s="2">
        <v>6</v>
      </c>
      <c r="B23" s="131" t="s">
        <v>385</v>
      </c>
      <c r="C23" s="129" t="s">
        <v>36</v>
      </c>
      <c r="D23" s="129" t="s">
        <v>37</v>
      </c>
      <c r="E23" s="129" t="s">
        <v>38</v>
      </c>
      <c r="F23" s="129" t="s">
        <v>39</v>
      </c>
      <c r="G23" s="129" t="s">
        <v>40</v>
      </c>
      <c r="H23" s="129" t="s">
        <v>41</v>
      </c>
      <c r="I23" s="129" t="s">
        <v>42</v>
      </c>
      <c r="J23" s="219" t="s">
        <v>505</v>
      </c>
      <c r="K23" s="219" t="s">
        <v>506</v>
      </c>
      <c r="L23" s="219" t="s">
        <v>507</v>
      </c>
    </row>
    <row r="24" spans="1:12" x14ac:dyDescent="0.25">
      <c r="B24" s="1" t="str">
        <f>'Output Schedule'!A34</f>
        <v>No of days of opertaion (JW Services)</v>
      </c>
      <c r="C24" s="1">
        <f>'Output Schedule'!B34</f>
        <v>60</v>
      </c>
      <c r="D24" s="1">
        <f>'Output Schedule'!C34</f>
        <v>68</v>
      </c>
      <c r="E24" s="1">
        <f>'Output Schedule'!D34</f>
        <v>75</v>
      </c>
      <c r="F24" s="1">
        <f>'Output Schedule'!E34</f>
        <v>83</v>
      </c>
      <c r="G24" s="1">
        <f>'Output Schedule'!F34</f>
        <v>90</v>
      </c>
      <c r="H24" s="1">
        <f>'Output Schedule'!G34</f>
        <v>98</v>
      </c>
      <c r="I24" s="1">
        <f>'Output Schedule'!H34</f>
        <v>105</v>
      </c>
      <c r="J24" s="1">
        <f>'Output Schedule'!I34</f>
        <v>113</v>
      </c>
      <c r="K24" s="1">
        <f>'Output Schedule'!J34</f>
        <v>113</v>
      </c>
      <c r="L24" s="1">
        <f>'Output Schedule'!K34</f>
        <v>120</v>
      </c>
    </row>
    <row r="25" spans="1:12" x14ac:dyDescent="0.25">
      <c r="B25" s="1" t="str">
        <f>'Output Schedule'!A35</f>
        <v>No of days of opertaion (Captive Operations)</v>
      </c>
      <c r="C25" s="1">
        <f>'Output Schedule'!B35</f>
        <v>60</v>
      </c>
      <c r="D25" s="1">
        <f>'Output Schedule'!C35</f>
        <v>68</v>
      </c>
      <c r="E25" s="1">
        <f>'Output Schedule'!D35</f>
        <v>75</v>
      </c>
      <c r="F25" s="1">
        <f>'Output Schedule'!E35</f>
        <v>83</v>
      </c>
      <c r="G25" s="1">
        <f>'Output Schedule'!F35</f>
        <v>90</v>
      </c>
      <c r="H25" s="1">
        <f>'Output Schedule'!G35</f>
        <v>98</v>
      </c>
      <c r="I25" s="1">
        <f>'Output Schedule'!H35</f>
        <v>105</v>
      </c>
      <c r="J25" s="1">
        <f>'Output Schedule'!I35</f>
        <v>113</v>
      </c>
      <c r="K25" s="1">
        <f>'Output Schedule'!J35</f>
        <v>113</v>
      </c>
      <c r="L25" s="1">
        <f>'Output Schedule'!K35</f>
        <v>120</v>
      </c>
    </row>
    <row r="27" spans="1:12" x14ac:dyDescent="0.25">
      <c r="B27" s="3" t="str">
        <f>'Output Schedule'!A37</f>
        <v>Total Working days of the Facilty</v>
      </c>
      <c r="C27" s="3">
        <f>'Output Schedule'!B37</f>
        <v>120</v>
      </c>
      <c r="D27" s="3">
        <f>'Output Schedule'!C37</f>
        <v>136</v>
      </c>
      <c r="E27" s="3">
        <f>'Output Schedule'!D37</f>
        <v>150</v>
      </c>
      <c r="F27" s="3">
        <f>'Output Schedule'!E37</f>
        <v>166</v>
      </c>
      <c r="G27" s="3">
        <f>'Output Schedule'!F37</f>
        <v>180</v>
      </c>
      <c r="H27" s="3">
        <f>'Output Schedule'!G37</f>
        <v>196</v>
      </c>
      <c r="I27" s="3">
        <f>'Output Schedule'!H37</f>
        <v>210</v>
      </c>
      <c r="J27" s="3">
        <f>'Output Schedule'!I37</f>
        <v>226</v>
      </c>
      <c r="K27" s="3">
        <f>'Output Schedule'!J37</f>
        <v>226</v>
      </c>
      <c r="L27" s="3">
        <f>'Output Schedule'!K37</f>
        <v>240</v>
      </c>
    </row>
    <row r="29" spans="1:12" x14ac:dyDescent="0.25">
      <c r="A29" s="60">
        <v>7</v>
      </c>
      <c r="B29" s="1" t="s">
        <v>386</v>
      </c>
      <c r="C29" s="1" t="s">
        <v>387</v>
      </c>
    </row>
    <row r="30" spans="1:12" x14ac:dyDescent="0.25">
      <c r="A30" s="60">
        <v>8</v>
      </c>
      <c r="B30" s="1" t="s">
        <v>388</v>
      </c>
      <c r="C30" s="1" t="s">
        <v>387</v>
      </c>
    </row>
    <row r="31" spans="1:12" hidden="1" x14ac:dyDescent="0.25">
      <c r="A31" s="60">
        <v>9</v>
      </c>
      <c r="B31" s="1" t="s">
        <v>467</v>
      </c>
      <c r="C31" s="1" t="s">
        <v>475</v>
      </c>
    </row>
    <row r="33" spans="1:12" x14ac:dyDescent="0.25">
      <c r="A33" s="60">
        <v>9</v>
      </c>
      <c r="B33" s="3" t="s">
        <v>389</v>
      </c>
      <c r="C33" s="129" t="s">
        <v>36</v>
      </c>
      <c r="D33" s="129" t="s">
        <v>37</v>
      </c>
      <c r="E33" s="129" t="s">
        <v>38</v>
      </c>
      <c r="F33" s="129" t="s">
        <v>39</v>
      </c>
      <c r="G33" s="129" t="s">
        <v>40</v>
      </c>
      <c r="H33" s="129" t="s">
        <v>41</v>
      </c>
      <c r="I33" s="129" t="s">
        <v>42</v>
      </c>
      <c r="J33" s="219" t="s">
        <v>505</v>
      </c>
      <c r="K33" s="219" t="s">
        <v>506</v>
      </c>
      <c r="L33" s="219" t="s">
        <v>507</v>
      </c>
    </row>
    <row r="34" spans="1:12" x14ac:dyDescent="0.25">
      <c r="B34" s="1" t="s">
        <v>629</v>
      </c>
      <c r="C34" s="25">
        <f>'Purchase Schedule'!B4</f>
        <v>45250</v>
      </c>
      <c r="D34" s="25">
        <f>'Purchase Schedule'!C4</f>
        <v>47510</v>
      </c>
      <c r="E34" s="25">
        <f>'Purchase Schedule'!D4</f>
        <v>49890</v>
      </c>
      <c r="F34" s="25">
        <f>'Purchase Schedule'!E4</f>
        <v>52380</v>
      </c>
      <c r="G34" s="25">
        <f>'Purchase Schedule'!F4</f>
        <v>55000</v>
      </c>
      <c r="H34" s="25">
        <f>'Purchase Schedule'!G4</f>
        <v>57750</v>
      </c>
      <c r="I34" s="25">
        <f>'Purchase Schedule'!H4</f>
        <v>60640</v>
      </c>
      <c r="J34" s="25">
        <f>'Purchase Schedule'!I4</f>
        <v>63670</v>
      </c>
      <c r="K34" s="25">
        <f>'Purchase Schedule'!J4</f>
        <v>66850</v>
      </c>
      <c r="L34" s="25">
        <f>'Purchase Schedule'!K4</f>
        <v>70190</v>
      </c>
    </row>
    <row r="35" spans="1:12" x14ac:dyDescent="0.25">
      <c r="C35" s="25"/>
      <c r="D35" s="25"/>
      <c r="E35" s="25"/>
      <c r="F35" s="25"/>
      <c r="G35" s="25"/>
      <c r="H35" s="25"/>
      <c r="I35" s="25"/>
    </row>
    <row r="36" spans="1:12" hidden="1" x14ac:dyDescent="0.25">
      <c r="C36" s="188" t="s">
        <v>36</v>
      </c>
      <c r="D36" s="188" t="s">
        <v>37</v>
      </c>
      <c r="E36" s="188" t="s">
        <v>38</v>
      </c>
      <c r="F36" s="188" t="s">
        <v>39</v>
      </c>
      <c r="G36" s="188" t="s">
        <v>40</v>
      </c>
      <c r="H36" s="188" t="s">
        <v>41</v>
      </c>
      <c r="I36" s="188" t="s">
        <v>42</v>
      </c>
    </row>
    <row r="37" spans="1:12" hidden="1" x14ac:dyDescent="0.25">
      <c r="A37" s="60">
        <v>11</v>
      </c>
      <c r="B37" s="1" t="s">
        <v>469</v>
      </c>
      <c r="C37" s="25">
        <f>'Production Level Support'!B3</f>
        <v>0</v>
      </c>
      <c r="D37" s="25">
        <f>'Production Level Support'!C3</f>
        <v>0</v>
      </c>
      <c r="E37" s="25">
        <f>'Production Level Support'!D3</f>
        <v>0</v>
      </c>
      <c r="F37" s="25">
        <f>'Production Level Support'!E3</f>
        <v>0</v>
      </c>
      <c r="G37" s="25">
        <f>'Production Level Support'!F3</f>
        <v>0</v>
      </c>
      <c r="H37" s="25">
        <f>'Production Level Support'!G3</f>
        <v>0</v>
      </c>
      <c r="I37" s="25">
        <f>'Production Level Support'!H3</f>
        <v>0</v>
      </c>
    </row>
    <row r="38" spans="1:12" hidden="1" x14ac:dyDescent="0.25">
      <c r="C38" s="25"/>
      <c r="D38" s="25"/>
      <c r="E38" s="25"/>
      <c r="F38" s="25"/>
      <c r="G38" s="25"/>
      <c r="H38" s="25"/>
      <c r="I38" s="25"/>
    </row>
    <row r="39" spans="1:12" hidden="1" x14ac:dyDescent="0.25">
      <c r="C39" s="188" t="s">
        <v>36</v>
      </c>
      <c r="D39" s="188" t="s">
        <v>37</v>
      </c>
      <c r="E39" s="188" t="s">
        <v>38</v>
      </c>
      <c r="F39" s="188" t="s">
        <v>39</v>
      </c>
      <c r="G39" s="188" t="s">
        <v>40</v>
      </c>
      <c r="H39" s="188" t="s">
        <v>41</v>
      </c>
      <c r="I39" s="188" t="s">
        <v>42</v>
      </c>
    </row>
    <row r="40" spans="1:12" hidden="1" x14ac:dyDescent="0.25">
      <c r="A40" s="60">
        <v>12</v>
      </c>
      <c r="B40" s="1" t="s">
        <v>472</v>
      </c>
      <c r="C40" s="38">
        <v>0.85</v>
      </c>
      <c r="D40" s="38">
        <v>0.85</v>
      </c>
      <c r="E40" s="38">
        <v>0.85</v>
      </c>
      <c r="F40" s="38">
        <v>0.85</v>
      </c>
      <c r="G40" s="38">
        <v>0.85</v>
      </c>
      <c r="H40" s="38">
        <v>0.85</v>
      </c>
      <c r="I40" s="38">
        <v>0.85</v>
      </c>
    </row>
    <row r="41" spans="1:12" x14ac:dyDescent="0.25">
      <c r="C41" s="25"/>
      <c r="D41" s="25"/>
      <c r="E41" s="25"/>
      <c r="F41" s="25"/>
      <c r="G41" s="25"/>
      <c r="H41" s="25"/>
      <c r="I41" s="25"/>
    </row>
    <row r="42" spans="1:12" x14ac:dyDescent="0.25">
      <c r="A42" s="60">
        <v>10</v>
      </c>
      <c r="B42" s="3" t="s">
        <v>470</v>
      </c>
      <c r="C42" s="129" t="s">
        <v>36</v>
      </c>
      <c r="D42" s="129" t="s">
        <v>37</v>
      </c>
      <c r="E42" s="129" t="s">
        <v>38</v>
      </c>
      <c r="F42" s="129" t="s">
        <v>39</v>
      </c>
      <c r="G42" s="129" t="s">
        <v>40</v>
      </c>
      <c r="H42" s="129" t="s">
        <v>41</v>
      </c>
      <c r="I42" s="129" t="s">
        <v>42</v>
      </c>
      <c r="J42" s="219" t="s">
        <v>505</v>
      </c>
      <c r="K42" s="219" t="s">
        <v>506</v>
      </c>
      <c r="L42" s="219" t="s">
        <v>507</v>
      </c>
    </row>
    <row r="43" spans="1:12" x14ac:dyDescent="0.25">
      <c r="B43" s="1" t="s">
        <v>628</v>
      </c>
      <c r="C43" s="25">
        <f>'Output Schedule'!B13</f>
        <v>200</v>
      </c>
      <c r="D43" s="25">
        <f>'Output Schedule'!C13</f>
        <v>210</v>
      </c>
      <c r="E43" s="25">
        <f>'Output Schedule'!D13</f>
        <v>221</v>
      </c>
      <c r="F43" s="25">
        <f>'Output Schedule'!E13</f>
        <v>232</v>
      </c>
      <c r="G43" s="25">
        <f>'Output Schedule'!F13</f>
        <v>244</v>
      </c>
      <c r="H43" s="25">
        <f>'Output Schedule'!G13</f>
        <v>256</v>
      </c>
      <c r="I43" s="25">
        <f>'Output Schedule'!H13</f>
        <v>269</v>
      </c>
      <c r="J43" s="25">
        <f>'Output Schedule'!I13</f>
        <v>282</v>
      </c>
      <c r="K43" s="25">
        <f>'Output Schedule'!J13</f>
        <v>296</v>
      </c>
      <c r="L43" s="25">
        <f>'Output Schedule'!K13</f>
        <v>311</v>
      </c>
    </row>
    <row r="44" spans="1:12" hidden="1" x14ac:dyDescent="0.25">
      <c r="A44" s="60" t="s">
        <v>338</v>
      </c>
      <c r="B44" s="1" t="s">
        <v>471</v>
      </c>
      <c r="C44" s="25"/>
      <c r="D44" s="25"/>
      <c r="E44" s="25"/>
      <c r="F44" s="25"/>
      <c r="G44" s="25"/>
      <c r="H44" s="25"/>
      <c r="I44" s="25"/>
    </row>
    <row r="45" spans="1:12" hidden="1" x14ac:dyDescent="0.25">
      <c r="B45" s="189" t="s">
        <v>473</v>
      </c>
      <c r="C45" s="25">
        <f>'Farm Implement Business'!E5</f>
        <v>1500</v>
      </c>
      <c r="D45" s="25"/>
      <c r="E45" s="25"/>
      <c r="F45" s="25"/>
      <c r="G45" s="25"/>
      <c r="H45" s="25"/>
      <c r="I45" s="25"/>
    </row>
    <row r="46" spans="1:12" hidden="1" x14ac:dyDescent="0.25">
      <c r="B46" s="189" t="s">
        <v>474</v>
      </c>
      <c r="C46" s="25">
        <f>'Farm Implement Business'!E6</f>
        <v>1000</v>
      </c>
      <c r="D46" s="25"/>
      <c r="E46" s="25"/>
      <c r="F46" s="25"/>
      <c r="G46" s="25"/>
      <c r="H46" s="25"/>
      <c r="I46" s="25"/>
    </row>
    <row r="48" spans="1:12" x14ac:dyDescent="0.25">
      <c r="A48" s="60">
        <v>11</v>
      </c>
      <c r="B48" s="3" t="s">
        <v>390</v>
      </c>
      <c r="C48" s="1" t="s">
        <v>391</v>
      </c>
    </row>
    <row r="50" spans="1:12" x14ac:dyDescent="0.25">
      <c r="A50" s="60">
        <v>12</v>
      </c>
      <c r="B50" s="3" t="s">
        <v>392</v>
      </c>
      <c r="C50" s="129" t="s">
        <v>36</v>
      </c>
      <c r="D50" s="129" t="s">
        <v>37</v>
      </c>
      <c r="E50" s="129" t="s">
        <v>38</v>
      </c>
      <c r="F50" s="129" t="s">
        <v>39</v>
      </c>
      <c r="G50" s="129" t="s">
        <v>40</v>
      </c>
      <c r="H50" s="129" t="s">
        <v>41</v>
      </c>
      <c r="I50" s="129" t="s">
        <v>42</v>
      </c>
      <c r="J50" s="219" t="s">
        <v>505</v>
      </c>
      <c r="K50" s="219" t="s">
        <v>506</v>
      </c>
      <c r="L50" s="219" t="s">
        <v>507</v>
      </c>
    </row>
    <row r="51" spans="1:12" x14ac:dyDescent="0.25">
      <c r="A51" s="134" t="s">
        <v>337</v>
      </c>
      <c r="B51" s="1" t="str">
        <f>'CS-FG'!B29</f>
        <v>Polished Rice</v>
      </c>
      <c r="C51" s="25">
        <f>'CS-FG'!C29</f>
        <v>50000</v>
      </c>
      <c r="D51" s="25">
        <f>'CS-FG'!D29</f>
        <v>52500</v>
      </c>
      <c r="E51" s="25">
        <f>'CS-FG'!E29</f>
        <v>55130</v>
      </c>
      <c r="F51" s="25">
        <f>'CS-FG'!F29</f>
        <v>57890</v>
      </c>
      <c r="G51" s="25">
        <f>'CS-FG'!G29</f>
        <v>60780</v>
      </c>
      <c r="H51" s="25">
        <f>'CS-FG'!H29</f>
        <v>63820</v>
      </c>
      <c r="I51" s="25">
        <f>'CS-FG'!I29</f>
        <v>67010</v>
      </c>
      <c r="J51" s="25">
        <f>'CS-FG'!J29</f>
        <v>70360</v>
      </c>
      <c r="K51" s="25">
        <f>'CS-FG'!K29</f>
        <v>73880</v>
      </c>
      <c r="L51" s="25">
        <f>'CS-FG'!L29</f>
        <v>77570</v>
      </c>
    </row>
    <row r="52" spans="1:12" x14ac:dyDescent="0.25">
      <c r="A52" s="134" t="s">
        <v>338</v>
      </c>
      <c r="B52" s="1" t="str">
        <f>'CS-FG'!B30</f>
        <v>Raw Jari</v>
      </c>
      <c r="C52" s="25">
        <f>'CS-FG'!C30</f>
        <v>14000</v>
      </c>
      <c r="D52" s="25">
        <f>'CS-FG'!D30</f>
        <v>14700</v>
      </c>
      <c r="E52" s="25">
        <f>'CS-FG'!E30</f>
        <v>15440</v>
      </c>
      <c r="F52" s="25">
        <f>'CS-FG'!F30</f>
        <v>16210</v>
      </c>
      <c r="G52" s="25">
        <f>'CS-FG'!G30</f>
        <v>17020</v>
      </c>
      <c r="H52" s="25">
        <f>'CS-FG'!H30</f>
        <v>17870</v>
      </c>
      <c r="I52" s="25">
        <f>'CS-FG'!I30</f>
        <v>18760</v>
      </c>
      <c r="J52" s="25">
        <f>'CS-FG'!J30</f>
        <v>19700</v>
      </c>
      <c r="K52" s="25">
        <f>'CS-FG'!K30</f>
        <v>20690</v>
      </c>
      <c r="L52" s="25">
        <f>'CS-FG'!L30</f>
        <v>21720</v>
      </c>
    </row>
    <row r="53" spans="1:12" x14ac:dyDescent="0.25">
      <c r="A53" s="134" t="s">
        <v>339</v>
      </c>
      <c r="B53" s="1" t="str">
        <f>'CS-FG'!B31</f>
        <v>Broken</v>
      </c>
      <c r="C53" s="25">
        <f>'CS-FG'!C31</f>
        <v>25000</v>
      </c>
      <c r="D53" s="25">
        <f>'CS-FG'!D31</f>
        <v>26250</v>
      </c>
      <c r="E53" s="25">
        <f>'CS-FG'!E31</f>
        <v>27560</v>
      </c>
      <c r="F53" s="25">
        <f>'CS-FG'!F31</f>
        <v>28940</v>
      </c>
      <c r="G53" s="25">
        <f>'CS-FG'!G31</f>
        <v>30390</v>
      </c>
      <c r="H53" s="25">
        <f>'CS-FG'!H31</f>
        <v>31910</v>
      </c>
      <c r="I53" s="25">
        <f>'CS-FG'!I31</f>
        <v>33510</v>
      </c>
      <c r="J53" s="25">
        <f>'CS-FG'!J31</f>
        <v>35190</v>
      </c>
      <c r="K53" s="25">
        <f>'CS-FG'!K31</f>
        <v>36950</v>
      </c>
      <c r="L53" s="25">
        <f>'CS-FG'!L31</f>
        <v>38800</v>
      </c>
    </row>
    <row r="54" spans="1:12" x14ac:dyDescent="0.25">
      <c r="A54" s="134" t="s">
        <v>442</v>
      </c>
      <c r="B54" s="1" t="str">
        <f>'CS-FG'!B32</f>
        <v>Powder</v>
      </c>
      <c r="C54" s="25">
        <f>'CS-FG'!C32</f>
        <v>12000</v>
      </c>
      <c r="D54" s="25">
        <f>'CS-FG'!D32</f>
        <v>12600</v>
      </c>
      <c r="E54" s="25">
        <f>'CS-FG'!E32</f>
        <v>13230</v>
      </c>
      <c r="F54" s="25">
        <f>'CS-FG'!F32</f>
        <v>13890</v>
      </c>
      <c r="G54" s="25">
        <f>'CS-FG'!G32</f>
        <v>14580</v>
      </c>
      <c r="H54" s="25">
        <f>'CS-FG'!H32</f>
        <v>15310</v>
      </c>
      <c r="I54" s="25">
        <f>'CS-FG'!I32</f>
        <v>16080</v>
      </c>
      <c r="J54" s="25">
        <f>'CS-FG'!J32</f>
        <v>16880</v>
      </c>
      <c r="K54" s="25">
        <f>'CS-FG'!K32</f>
        <v>17720</v>
      </c>
      <c r="L54" s="25">
        <f>'CS-FG'!L32</f>
        <v>18610</v>
      </c>
    </row>
    <row r="56" spans="1:12" hidden="1" x14ac:dyDescent="0.25">
      <c r="A56" s="60">
        <v>13</v>
      </c>
      <c r="B56" s="3" t="s">
        <v>393</v>
      </c>
      <c r="C56" s="38">
        <v>0.09</v>
      </c>
    </row>
    <row r="57" spans="1:12" hidden="1" x14ac:dyDescent="0.25"/>
    <row r="58" spans="1:12" hidden="1" x14ac:dyDescent="0.25">
      <c r="A58" s="60">
        <v>14</v>
      </c>
      <c r="B58" s="3" t="s">
        <v>394</v>
      </c>
      <c r="C58" s="1" t="s">
        <v>395</v>
      </c>
    </row>
    <row r="59" spans="1:12" hidden="1" x14ac:dyDescent="0.25"/>
    <row r="60" spans="1:12" hidden="1" x14ac:dyDescent="0.25">
      <c r="A60" s="60">
        <v>15</v>
      </c>
      <c r="B60" s="3" t="s">
        <v>396</v>
      </c>
      <c r="C60" s="82">
        <v>0.309</v>
      </c>
    </row>
    <row r="61" spans="1:12" hidden="1" x14ac:dyDescent="0.25"/>
    <row r="62" spans="1:12" x14ac:dyDescent="0.25">
      <c r="A62" s="60">
        <v>13</v>
      </c>
      <c r="B62" s="3" t="s">
        <v>397</v>
      </c>
      <c r="C62" s="1" t="s">
        <v>398</v>
      </c>
    </row>
    <row r="64" spans="1:12" x14ac:dyDescent="0.25">
      <c r="A64" s="60">
        <v>14</v>
      </c>
      <c r="B64" s="3" t="s">
        <v>399</v>
      </c>
      <c r="C64" s="1" t="s">
        <v>387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topLeftCell="A50" zoomScale="60" zoomScaleNormal="100" workbookViewId="0">
      <selection activeCell="A4" sqref="A4:L50"/>
    </sheetView>
  </sheetViews>
  <sheetFormatPr defaultRowHeight="15" x14ac:dyDescent="0.25"/>
  <cols>
    <col min="1" max="1" width="29.7109375" style="84" bestFit="1" customWidth="1"/>
    <col min="2" max="2" width="10.42578125" style="84" bestFit="1" customWidth="1"/>
    <col min="3" max="4" width="10.85546875" style="84" bestFit="1" customWidth="1"/>
    <col min="5" max="12" width="11.85546875" style="84" bestFit="1" customWidth="1"/>
    <col min="13" max="16384" width="9.140625" style="84"/>
  </cols>
  <sheetData>
    <row r="1" spans="1:12" x14ac:dyDescent="0.25">
      <c r="A1" s="307"/>
      <c r="B1" s="307"/>
      <c r="C1" s="307"/>
      <c r="D1" s="307"/>
      <c r="E1" s="307"/>
      <c r="F1" s="307"/>
      <c r="G1" s="307"/>
    </row>
    <row r="2" spans="1:12" x14ac:dyDescent="0.25">
      <c r="A2" s="307" t="s">
        <v>301</v>
      </c>
      <c r="B2" s="307"/>
      <c r="C2" s="307"/>
      <c r="D2" s="307"/>
      <c r="E2" s="307"/>
      <c r="F2" s="307"/>
      <c r="G2" s="307"/>
      <c r="H2" s="307"/>
      <c r="I2" s="307"/>
    </row>
    <row r="4" spans="1:12" s="86" customFormat="1" x14ac:dyDescent="0.25">
      <c r="A4" s="222" t="s">
        <v>1</v>
      </c>
      <c r="B4" s="222" t="s">
        <v>456</v>
      </c>
      <c r="C4" s="222" t="s">
        <v>36</v>
      </c>
      <c r="D4" s="222" t="s">
        <v>37</v>
      </c>
      <c r="E4" s="222" t="s">
        <v>38</v>
      </c>
      <c r="F4" s="222" t="s">
        <v>39</v>
      </c>
      <c r="G4" s="222" t="s">
        <v>40</v>
      </c>
      <c r="H4" s="222" t="s">
        <v>41</v>
      </c>
      <c r="I4" s="222" t="s">
        <v>42</v>
      </c>
      <c r="J4" s="222" t="s">
        <v>505</v>
      </c>
      <c r="K4" s="222" t="s">
        <v>506</v>
      </c>
      <c r="L4" s="222" t="s">
        <v>507</v>
      </c>
    </row>
    <row r="5" spans="1:12" x14ac:dyDescent="0.25">
      <c r="A5" s="85" t="s">
        <v>302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303</v>
      </c>
      <c r="B7" s="180">
        <f>'Project Glance'!B19</f>
        <v>39.05993324166667</v>
      </c>
      <c r="C7" s="88">
        <f>'Project Glance'!B19</f>
        <v>39.05993324166667</v>
      </c>
      <c r="D7" s="88">
        <f>C7</f>
        <v>39.05993324166667</v>
      </c>
      <c r="E7" s="88">
        <f t="shared" ref="E7:I7" si="0">D7</f>
        <v>39.05993324166667</v>
      </c>
      <c r="F7" s="88">
        <f t="shared" si="0"/>
        <v>39.05993324166667</v>
      </c>
      <c r="G7" s="88">
        <f t="shared" si="0"/>
        <v>39.05993324166667</v>
      </c>
      <c r="H7" s="88">
        <f t="shared" si="0"/>
        <v>39.05993324166667</v>
      </c>
      <c r="I7" s="88">
        <f t="shared" si="0"/>
        <v>39.05993324166667</v>
      </c>
      <c r="J7" s="88">
        <f t="shared" ref="J7" si="1">I7</f>
        <v>39.05993324166667</v>
      </c>
      <c r="K7" s="88">
        <f t="shared" ref="K7" si="2">J7</f>
        <v>39.05993324166667</v>
      </c>
      <c r="L7" s="88">
        <f t="shared" ref="L7" si="3">K7</f>
        <v>39.05993324166667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304</v>
      </c>
      <c r="B9" s="89">
        <f t="shared" ref="B9:I9" si="4">SUM(B7:B8)</f>
        <v>39.05993324166667</v>
      </c>
      <c r="C9" s="89">
        <f t="shared" si="4"/>
        <v>39.05993324166667</v>
      </c>
      <c r="D9" s="89">
        <f t="shared" si="4"/>
        <v>39.05993324166667</v>
      </c>
      <c r="E9" s="89">
        <f t="shared" si="4"/>
        <v>39.05993324166667</v>
      </c>
      <c r="F9" s="89">
        <f t="shared" si="4"/>
        <v>39.05993324166667</v>
      </c>
      <c r="G9" s="89">
        <f t="shared" si="4"/>
        <v>39.05993324166667</v>
      </c>
      <c r="H9" s="89">
        <f t="shared" si="4"/>
        <v>39.05993324166667</v>
      </c>
      <c r="I9" s="89">
        <f t="shared" si="4"/>
        <v>39.05993324166667</v>
      </c>
      <c r="J9" s="89">
        <f t="shared" ref="J9:L9" si="5">SUM(J7:J8)</f>
        <v>39.05993324166667</v>
      </c>
      <c r="K9" s="89">
        <f t="shared" si="5"/>
        <v>39.05993324166667</v>
      </c>
      <c r="L9" s="89">
        <f t="shared" si="5"/>
        <v>39.05993324166667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305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332</v>
      </c>
      <c r="B13" s="180">
        <f>'Project Glance'!B20</f>
        <v>50.799117600000002</v>
      </c>
      <c r="C13" s="88">
        <f>B13</f>
        <v>50.799117600000002</v>
      </c>
      <c r="D13" s="88">
        <f t="shared" ref="D13:I13" si="6">C13</f>
        <v>50.799117600000002</v>
      </c>
      <c r="E13" s="88">
        <f t="shared" si="6"/>
        <v>50.799117600000002</v>
      </c>
      <c r="F13" s="88">
        <f t="shared" si="6"/>
        <v>50.799117600000002</v>
      </c>
      <c r="G13" s="88">
        <f t="shared" si="6"/>
        <v>50.799117600000002</v>
      </c>
      <c r="H13" s="88">
        <f t="shared" si="6"/>
        <v>50.799117600000002</v>
      </c>
      <c r="I13" s="88">
        <f t="shared" si="6"/>
        <v>50.799117600000002</v>
      </c>
      <c r="J13" s="88">
        <f t="shared" ref="J13" si="7">I13</f>
        <v>50.799117600000002</v>
      </c>
      <c r="K13" s="88">
        <f t="shared" ref="K13" si="8">J13</f>
        <v>50.799117600000002</v>
      </c>
      <c r="L13" s="88">
        <f t="shared" ref="L13" si="9">K13</f>
        <v>50.799117600000002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306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307</v>
      </c>
      <c r="B16" s="88">
        <v>0</v>
      </c>
      <c r="C16" s="88">
        <v>0</v>
      </c>
      <c r="D16" s="88">
        <f>C19</f>
        <v>5.2505821767499556</v>
      </c>
      <c r="E16" s="88">
        <f>D19</f>
        <v>11.23444998362122</v>
      </c>
      <c r="F16" s="88">
        <f>E19</f>
        <v>20.041480469982346</v>
      </c>
      <c r="G16" s="88">
        <f>F19</f>
        <v>31.196804584036553</v>
      </c>
      <c r="H16" s="88">
        <f t="shared" ref="H16:I16" si="10">G19</f>
        <v>44.987222084332259</v>
      </c>
      <c r="I16" s="88">
        <f t="shared" si="10"/>
        <v>61.781189502503189</v>
      </c>
      <c r="J16" s="88">
        <f t="shared" ref="J16" si="11">I19</f>
        <v>82.573769939457975</v>
      </c>
      <c r="K16" s="88">
        <f t="shared" ref="K16" si="12">J19</f>
        <v>107.69260713472269</v>
      </c>
      <c r="L16" s="88">
        <f t="shared" ref="L16" si="13">K19</f>
        <v>135.5913040834441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308</v>
      </c>
      <c r="B18" s="88">
        <v>0</v>
      </c>
      <c r="C18" s="88">
        <f>'P&amp;L'!B36</f>
        <v>5.2505821767499556</v>
      </c>
      <c r="D18" s="88">
        <f>'P&amp;L'!C36</f>
        <v>5.9838678068712641</v>
      </c>
      <c r="E18" s="88">
        <f>'P&amp;L'!D36</f>
        <v>8.8070304863611266</v>
      </c>
      <c r="F18" s="88">
        <f>'P&amp;L'!E36</f>
        <v>11.155324114054206</v>
      </c>
      <c r="G18" s="88">
        <f>'P&amp;L'!F36</f>
        <v>13.790417500295709</v>
      </c>
      <c r="H18" s="88">
        <f>'P&amp;L'!G36</f>
        <v>16.793967418170929</v>
      </c>
      <c r="I18" s="88">
        <f>'P&amp;L'!H36</f>
        <v>20.792580436954793</v>
      </c>
      <c r="J18" s="88">
        <f>'P&amp;L'!I36</f>
        <v>25.118837195264724</v>
      </c>
      <c r="K18" s="88">
        <f>'P&amp;L'!J36</f>
        <v>27.898696948721401</v>
      </c>
      <c r="L18" s="88">
        <f>'P&amp;L'!K36</f>
        <v>32.8983170470947</v>
      </c>
    </row>
    <row r="19" spans="1:92" x14ac:dyDescent="0.25">
      <c r="A19" s="77" t="s">
        <v>309</v>
      </c>
      <c r="B19" s="88">
        <f t="shared" ref="B19:G19" si="14">B16+B18</f>
        <v>0</v>
      </c>
      <c r="C19" s="88">
        <f t="shared" si="14"/>
        <v>5.2505821767499556</v>
      </c>
      <c r="D19" s="88">
        <f t="shared" si="14"/>
        <v>11.23444998362122</v>
      </c>
      <c r="E19" s="88">
        <f t="shared" si="14"/>
        <v>20.041480469982346</v>
      </c>
      <c r="F19" s="88">
        <f t="shared" si="14"/>
        <v>31.196804584036553</v>
      </c>
      <c r="G19" s="88">
        <f t="shared" si="14"/>
        <v>44.987222084332259</v>
      </c>
      <c r="H19" s="88">
        <f t="shared" ref="H19:I19" si="15">H16+H18</f>
        <v>61.781189502503189</v>
      </c>
      <c r="I19" s="88">
        <f t="shared" si="15"/>
        <v>82.573769939457975</v>
      </c>
      <c r="J19" s="88">
        <f t="shared" ref="J19:L19" si="16">J16+J18</f>
        <v>107.69260713472269</v>
      </c>
      <c r="K19" s="88">
        <f t="shared" si="16"/>
        <v>135.5913040834441</v>
      </c>
      <c r="L19" s="88">
        <f t="shared" si="16"/>
        <v>168.48962113053881</v>
      </c>
    </row>
    <row r="20" spans="1:92" x14ac:dyDescent="0.25">
      <c r="A20" s="77" t="s">
        <v>310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311</v>
      </c>
      <c r="B21" s="88">
        <v>0</v>
      </c>
      <c r="C21" s="88">
        <f>'WC Assessment'!C15</f>
        <v>15.581564525000001</v>
      </c>
      <c r="D21" s="88">
        <f>'WC Assessment'!D15</f>
        <v>20.364727126249988</v>
      </c>
      <c r="E21" s="88">
        <f>'WC Assessment'!E15</f>
        <v>23.767569545062507</v>
      </c>
      <c r="F21" s="88">
        <f>'WC Assessment'!F15</f>
        <v>27.519152397315626</v>
      </c>
      <c r="G21" s="88">
        <f>'WC Assessment'!G15</f>
        <v>31.900049985931414</v>
      </c>
      <c r="H21" s="88">
        <f>'WC Assessment'!H15</f>
        <v>36.329735141477968</v>
      </c>
      <c r="I21" s="88">
        <f>'WC Assessment'!I15</f>
        <v>41.564409679801884</v>
      </c>
      <c r="J21" s="88">
        <f>'WC Assessment'!J15</f>
        <v>46.84993922629198</v>
      </c>
      <c r="K21" s="88">
        <f>'WC Assessment'!K15</f>
        <v>49.694590531356596</v>
      </c>
      <c r="L21" s="88">
        <f>'WC Assessment'!L15</f>
        <v>55.438490651674414</v>
      </c>
    </row>
    <row r="22" spans="1:92" x14ac:dyDescent="0.25">
      <c r="A22" s="77" t="s">
        <v>312</v>
      </c>
      <c r="B22" s="88">
        <v>0</v>
      </c>
      <c r="C22" s="88">
        <f>('P&amp;L'!B16+'P&amp;L'!B23+'P&amp;L'!B25)/12</f>
        <v>49.173747300000002</v>
      </c>
      <c r="D22" s="88">
        <f>('P&amp;L'!C16+'P&amp;L'!C23+'P&amp;L'!C25)/12</f>
        <v>55.97675549833334</v>
      </c>
      <c r="E22" s="88">
        <f>('P&amp;L'!D16+'P&amp;L'!D23+'P&amp;L'!D25)/12</f>
        <v>65.187498939916665</v>
      </c>
      <c r="F22" s="88">
        <f>('P&amp;L'!E16+'P&amp;L'!E23+'P&amp;L'!E25)/12</f>
        <v>75.080984303579172</v>
      </c>
      <c r="G22" s="88">
        <f>('P&amp;L'!F16+'P&amp;L'!F23+'P&amp;L'!F25)/12</f>
        <v>85.832512518758122</v>
      </c>
      <c r="H22" s="88">
        <f>('P&amp;L'!G16+'P&amp;L'!G23+'P&amp;L'!G25)/12</f>
        <v>97.472465644696015</v>
      </c>
      <c r="I22" s="88">
        <f>('P&amp;L'!H16+'P&amp;L'!H23+'P&amp;L'!H25)/12</f>
        <v>110.0939120935975</v>
      </c>
      <c r="J22" s="88">
        <f>('P&amp;L'!I16+'P&amp;L'!I23+'P&amp;L'!I25)/12</f>
        <v>123.56455186494402</v>
      </c>
      <c r="K22" s="88">
        <f>('P&amp;L'!J16+'P&amp;L'!J23+'P&amp;L'!J25)/12</f>
        <v>129.2580501248579</v>
      </c>
      <c r="L22" s="88">
        <f>('P&amp;L'!K16+'P&amp;L'!K23+'P&amp;L'!K25)/12</f>
        <v>144.88038746443414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313</v>
      </c>
      <c r="B24" s="89">
        <f>SUM(B19:B22)+B9+B13</f>
        <v>89.859050841666672</v>
      </c>
      <c r="C24" s="89">
        <f>SUM(C19:C22)+C9+C13</f>
        <v>159.86494484341665</v>
      </c>
      <c r="D24" s="89">
        <f t="shared" ref="D24:L24" si="17">SUM(D19:D22)+D9+D13</f>
        <v>177.4349834498712</v>
      </c>
      <c r="E24" s="89">
        <f t="shared" si="17"/>
        <v>198.85559979662821</v>
      </c>
      <c r="F24" s="89">
        <f t="shared" si="17"/>
        <v>223.65599212659799</v>
      </c>
      <c r="G24" s="89">
        <f t="shared" si="17"/>
        <v>252.57883543068846</v>
      </c>
      <c r="H24" s="89">
        <f t="shared" si="17"/>
        <v>285.44244113034381</v>
      </c>
      <c r="I24" s="89">
        <f t="shared" si="17"/>
        <v>324.09114255452403</v>
      </c>
      <c r="J24" s="89">
        <f t="shared" si="17"/>
        <v>367.96614906762534</v>
      </c>
      <c r="K24" s="89">
        <f t="shared" si="17"/>
        <v>404.40299558132529</v>
      </c>
      <c r="L24" s="89">
        <f t="shared" si="17"/>
        <v>458.66755008831399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314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315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316</v>
      </c>
      <c r="B28" s="185">
        <f>'Project Glance'!B6+'Project Glance'!B7+'Project Glance'!B8+'Project Glance'!B9+'Project Glance'!B11</f>
        <v>80.633520000000004</v>
      </c>
      <c r="C28" s="88">
        <f>Depn!C19</f>
        <v>80.633520000000004</v>
      </c>
      <c r="D28" s="88">
        <f>Depn!D19</f>
        <v>77.349578183999995</v>
      </c>
      <c r="E28" s="88">
        <f>Depn!E19</f>
        <v>74.065636368</v>
      </c>
      <c r="F28" s="88">
        <f>Depn!F19</f>
        <v>70.781694552000005</v>
      </c>
      <c r="G28" s="88">
        <f>Depn!G19</f>
        <v>67.49775273600001</v>
      </c>
      <c r="H28" s="88">
        <f>Depn!H19</f>
        <v>64.213810920000014</v>
      </c>
      <c r="I28" s="88">
        <f>Depn!I19</f>
        <v>60.929869104000019</v>
      </c>
      <c r="J28" s="88">
        <f>Depn!J19</f>
        <v>57.645927288000024</v>
      </c>
      <c r="K28" s="88">
        <f>Depn!K19</f>
        <v>54.361985472000029</v>
      </c>
      <c r="L28" s="88">
        <f>Depn!L19</f>
        <v>51.078043656000027</v>
      </c>
    </row>
    <row r="29" spans="1:92" x14ac:dyDescent="0.25">
      <c r="A29" s="76" t="s">
        <v>460</v>
      </c>
      <c r="B29" s="186">
        <v>0</v>
      </c>
      <c r="C29" s="88">
        <f>Depn!C20</f>
        <v>3.2839418159999996</v>
      </c>
      <c r="D29" s="88">
        <f>Depn!D20</f>
        <v>3.2839418159999996</v>
      </c>
      <c r="E29" s="88">
        <f>Depn!E20</f>
        <v>3.2839418159999996</v>
      </c>
      <c r="F29" s="88">
        <f>Depn!F20</f>
        <v>3.2839418159999996</v>
      </c>
      <c r="G29" s="88">
        <f>Depn!G20</f>
        <v>3.2839418159999996</v>
      </c>
      <c r="H29" s="88">
        <f>Depn!H20</f>
        <v>3.2839418159999996</v>
      </c>
      <c r="I29" s="88">
        <f>Depn!I20</f>
        <v>3.2839418159999996</v>
      </c>
      <c r="J29" s="88">
        <f>Depn!J20</f>
        <v>3.2839418159999996</v>
      </c>
      <c r="K29" s="88">
        <f>Depn!K20</f>
        <v>3.2839418159999996</v>
      </c>
      <c r="L29" s="88">
        <f>Depn!L20</f>
        <v>3.2839418159999996</v>
      </c>
    </row>
    <row r="30" spans="1:92" x14ac:dyDescent="0.25">
      <c r="A30" s="87" t="s">
        <v>317</v>
      </c>
      <c r="B30" s="186">
        <f>B28-B29</f>
        <v>80.633520000000004</v>
      </c>
      <c r="C30" s="88">
        <f>Depn!C21</f>
        <v>77.349578183999995</v>
      </c>
      <c r="D30" s="88">
        <f>Depn!D21</f>
        <v>74.065636368</v>
      </c>
      <c r="E30" s="88">
        <f>Depn!E21</f>
        <v>70.781694552000005</v>
      </c>
      <c r="F30" s="88">
        <f>Depn!F21</f>
        <v>67.49775273600001</v>
      </c>
      <c r="G30" s="88">
        <f>Depn!G21</f>
        <v>64.213810920000014</v>
      </c>
      <c r="H30" s="88">
        <f>Depn!H21</f>
        <v>60.929869104000019</v>
      </c>
      <c r="I30" s="88">
        <f>Depn!I21</f>
        <v>57.645927288000024</v>
      </c>
      <c r="J30" s="88">
        <f>Depn!J21</f>
        <v>54.361985472000029</v>
      </c>
      <c r="K30" s="88">
        <f>Depn!K21</f>
        <v>51.078043656000027</v>
      </c>
      <c r="L30" s="88">
        <f>Depn!L21</f>
        <v>47.794101840000032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318</v>
      </c>
      <c r="B32" s="185">
        <f>'Project Glance'!B10</f>
        <v>4.031676</v>
      </c>
      <c r="C32" s="88">
        <f>B32-'P&amp;L'!B27</f>
        <v>3.6285083999999999</v>
      </c>
      <c r="D32" s="88">
        <f>C32-'P&amp;L'!C27</f>
        <v>3.2253407999999997</v>
      </c>
      <c r="E32" s="88">
        <f>D32-'P&amp;L'!D27</f>
        <v>2.8221731999999995</v>
      </c>
      <c r="F32" s="88">
        <f>E32-'P&amp;L'!E27</f>
        <v>2.4190055999999993</v>
      </c>
      <c r="G32" s="88">
        <f>F32-'P&amp;L'!F27</f>
        <v>2.0158379999999991</v>
      </c>
      <c r="H32" s="88">
        <f>G32-'P&amp;L'!G27</f>
        <v>1.6126703999999992</v>
      </c>
      <c r="I32" s="88">
        <f>H32-'P&amp;L'!H27</f>
        <v>1.2095027999999992</v>
      </c>
      <c r="J32" s="88">
        <f>I32-'P&amp;L'!I27</f>
        <v>0.80633519999999925</v>
      </c>
      <c r="K32" s="88">
        <f>J32-'P&amp;L'!J27</f>
        <v>0.40316759999999924</v>
      </c>
      <c r="L32" s="88">
        <f>K32-'P&amp;L'!K27</f>
        <v>-7.7715611723760958E-16</v>
      </c>
    </row>
    <row r="33" spans="1:12" x14ac:dyDescent="0.25">
      <c r="A33" s="87" t="s">
        <v>21</v>
      </c>
      <c r="B33" s="185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319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320</v>
      </c>
      <c r="B36" s="88">
        <v>0</v>
      </c>
      <c r="C36" s="88">
        <f>'P&amp;L'!B9/24</f>
        <v>23.064166666666665</v>
      </c>
      <c r="D36" s="88">
        <f>'P&amp;L'!C9/24</f>
        <v>28.163625</v>
      </c>
      <c r="E36" s="88">
        <f>'P&amp;L'!D9/24</f>
        <v>32.909191666666672</v>
      </c>
      <c r="F36" s="88">
        <f>'P&amp;L'!E9/24</f>
        <v>37.990987500000003</v>
      </c>
      <c r="G36" s="88">
        <f>'P&amp;L'!F9/24</f>
        <v>43.500312500000007</v>
      </c>
      <c r="H36" s="88">
        <f>'P&amp;L'!G9/24</f>
        <v>49.508312499999995</v>
      </c>
      <c r="I36" s="88">
        <f>'P&amp;L'!H9/24</f>
        <v>56.022324999999995</v>
      </c>
      <c r="J36" s="88">
        <f>'P&amp;L'!I9/24</f>
        <v>63.026137500000004</v>
      </c>
      <c r="K36" s="88">
        <f>'P&amp;L'!J9/24</f>
        <v>66.363804166666668</v>
      </c>
      <c r="L36" s="88">
        <f>'P&amp;L'!K9/24</f>
        <v>74.109975000000006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83</v>
      </c>
      <c r="B39" s="184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321</v>
      </c>
      <c r="B40" s="88">
        <v>0</v>
      </c>
      <c r="C40" s="88">
        <f>'CS-FG'!C52</f>
        <v>24.26</v>
      </c>
      <c r="D40" s="88">
        <f>'CS-FG'!D52</f>
        <v>28.360499999999998</v>
      </c>
      <c r="E40" s="88">
        <f>'CS-FG'!E52</f>
        <v>32.537700000000001</v>
      </c>
      <c r="F40" s="88">
        <f>'CS-FG'!F52</f>
        <v>37.64</v>
      </c>
      <c r="G40" s="88">
        <f>'CS-FG'!G52</f>
        <v>43.615600000000001</v>
      </c>
      <c r="H40" s="88">
        <f>'CS-FG'!H52</f>
        <v>49.626299999999993</v>
      </c>
      <c r="I40" s="88">
        <f>'CS-FG'!I52</f>
        <v>56.127600000000001</v>
      </c>
      <c r="J40" s="88">
        <f>'CS-FG'!J52</f>
        <v>63.155200000000008</v>
      </c>
      <c r="K40" s="88">
        <f>'CS-FG'!K52</f>
        <v>66.314700000000002</v>
      </c>
      <c r="L40" s="88">
        <f>'CS-FG'!L52</f>
        <v>74.498400000000004</v>
      </c>
    </row>
    <row r="41" spans="1:12" x14ac:dyDescent="0.25">
      <c r="A41" s="77" t="s">
        <v>322</v>
      </c>
      <c r="B41" s="88">
        <v>0</v>
      </c>
      <c r="C41" s="88">
        <f>'CS-RM'!B16</f>
        <v>22.625</v>
      </c>
      <c r="D41" s="88">
        <f>'CS-RM'!C16</f>
        <v>26.605599999999999</v>
      </c>
      <c r="E41" s="88">
        <f>'CS-RM'!D16</f>
        <v>31.430700000000002</v>
      </c>
      <c r="F41" s="88">
        <f>'CS-RM'!E16</f>
        <v>36.142200000000003</v>
      </c>
      <c r="G41" s="88">
        <f>'CS-RM'!F16</f>
        <v>41.25</v>
      </c>
      <c r="H41" s="88">
        <f>'CS-RM'!G16</f>
        <v>46.777500000000003</v>
      </c>
      <c r="I41" s="88">
        <f>'CS-RM'!H16</f>
        <v>53.363199999999999</v>
      </c>
      <c r="J41" s="88">
        <f>'CS-RM'!I16</f>
        <v>59.849800000000002</v>
      </c>
      <c r="K41" s="88">
        <f>'CS-RM'!J16</f>
        <v>62.838999999999999</v>
      </c>
      <c r="L41" s="88">
        <f>'CS-RM'!K16</f>
        <v>70.19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46.885000000000005</v>
      </c>
      <c r="D43" s="88">
        <f>SUM(D40:D41)</f>
        <v>54.966099999999997</v>
      </c>
      <c r="E43" s="88">
        <f>SUM(E40:E41)</f>
        <v>63.968400000000003</v>
      </c>
      <c r="F43" s="88">
        <f>SUM(F40:F41)</f>
        <v>73.782200000000003</v>
      </c>
      <c r="G43" s="88">
        <f>SUM(G40:G41)</f>
        <v>84.865600000000001</v>
      </c>
      <c r="H43" s="88">
        <f t="shared" ref="H43:L43" si="22">SUM(H40:H41)</f>
        <v>96.40379999999999</v>
      </c>
      <c r="I43" s="88">
        <f t="shared" si="22"/>
        <v>109.49080000000001</v>
      </c>
      <c r="J43" s="88">
        <f t="shared" si="22"/>
        <v>123.00500000000001</v>
      </c>
      <c r="K43" s="88">
        <f t="shared" si="22"/>
        <v>129.15370000000001</v>
      </c>
      <c r="L43" s="88">
        <f t="shared" si="22"/>
        <v>144.6884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467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323</v>
      </c>
      <c r="B47" s="88">
        <f>CF!C35</f>
        <v>5.1938548416666634</v>
      </c>
      <c r="C47" s="88">
        <f>CF!D35</f>
        <v>8.9376915927499994</v>
      </c>
      <c r="D47" s="88">
        <f>CF!E35</f>
        <v>17.014281281871305</v>
      </c>
      <c r="E47" s="88">
        <f>CF!F35</f>
        <v>28.374140377961496</v>
      </c>
      <c r="F47" s="88">
        <f>CF!G35</f>
        <v>41.96604629059793</v>
      </c>
      <c r="G47" s="88">
        <f>CF!H35</f>
        <v>57.983274010688362</v>
      </c>
      <c r="H47" s="88">
        <f>CF!I35</f>
        <v>76.987789126344111</v>
      </c>
      <c r="I47" s="88">
        <f>CF!J35</f>
        <v>99.722587466524189</v>
      </c>
      <c r="J47" s="88">
        <f>CF!K35</f>
        <v>126.76669089562556</v>
      </c>
      <c r="K47" s="88">
        <f>CF!L35</f>
        <v>157.40428015865911</v>
      </c>
      <c r="L47" s="88">
        <f>CF!M35</f>
        <v>192.07507324831437</v>
      </c>
    </row>
    <row r="48" spans="1:12" x14ac:dyDescent="0.25">
      <c r="A48" s="77" t="s">
        <v>324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325</v>
      </c>
      <c r="B50" s="89">
        <f>SUM(B30:B47)</f>
        <v>89.859050841666672</v>
      </c>
      <c r="C50" s="89">
        <f>SUM(C30:C41)+C47</f>
        <v>159.86494484341665</v>
      </c>
      <c r="D50" s="89">
        <f t="shared" ref="D50:L50" si="23">SUM(D30:D41)+D47</f>
        <v>177.43498344987131</v>
      </c>
      <c r="E50" s="89">
        <f t="shared" si="23"/>
        <v>198.85559979662816</v>
      </c>
      <c r="F50" s="89">
        <f t="shared" si="23"/>
        <v>223.65599212659794</v>
      </c>
      <c r="G50" s="89">
        <f t="shared" si="23"/>
        <v>252.5788354306884</v>
      </c>
      <c r="H50" s="89">
        <f t="shared" si="23"/>
        <v>285.44244113034409</v>
      </c>
      <c r="I50" s="89">
        <f t="shared" si="23"/>
        <v>324.0911425545242</v>
      </c>
      <c r="J50" s="89">
        <f t="shared" si="23"/>
        <v>367.96614906762562</v>
      </c>
      <c r="K50" s="89">
        <f t="shared" si="23"/>
        <v>404.4029955813258</v>
      </c>
      <c r="L50" s="89">
        <f t="shared" si="23"/>
        <v>458.66755008831439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0</v>
      </c>
      <c r="G52" s="98">
        <f t="shared" si="24"/>
        <v>0</v>
      </c>
      <c r="H52" s="98">
        <f t="shared" ref="H52:L52" si="25">H50-H24</f>
        <v>0</v>
      </c>
      <c r="I52" s="98">
        <f t="shared" si="25"/>
        <v>0</v>
      </c>
      <c r="J52" s="98">
        <f t="shared" si="25"/>
        <v>0</v>
      </c>
      <c r="K52" s="98">
        <f t="shared" si="25"/>
        <v>5.1159076974727213E-13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30" zoomScale="60" zoomScaleNormal="100" workbookViewId="0">
      <selection activeCell="A3" sqref="A3:M35"/>
    </sheetView>
  </sheetViews>
  <sheetFormatPr defaultRowHeight="15" x14ac:dyDescent="0.25"/>
  <cols>
    <col min="1" max="1" width="5.42578125" style="104" bestFit="1" customWidth="1"/>
    <col min="2" max="2" width="38.42578125" style="104" bestFit="1" customWidth="1"/>
    <col min="3" max="3" width="9.85546875" style="104" bestFit="1" customWidth="1"/>
    <col min="4" max="4" width="10.42578125" style="104" bestFit="1" customWidth="1"/>
    <col min="5" max="7" width="11.28515625" style="104" bestFit="1" customWidth="1"/>
    <col min="8" max="8" width="12.5703125" style="104" bestFit="1" customWidth="1"/>
    <col min="9" max="13" width="13" style="104" bestFit="1" customWidth="1"/>
    <col min="14" max="16384" width="9.140625" style="104"/>
  </cols>
  <sheetData>
    <row r="1" spans="1:13" x14ac:dyDescent="0.25">
      <c r="A1" s="308" t="s">
        <v>326</v>
      </c>
      <c r="B1" s="309"/>
      <c r="C1" s="309"/>
      <c r="D1" s="309"/>
      <c r="E1" s="309"/>
      <c r="F1" s="309"/>
      <c r="G1" s="309"/>
      <c r="H1" s="309"/>
      <c r="I1" s="309"/>
      <c r="J1" s="309"/>
    </row>
    <row r="3" spans="1:13" x14ac:dyDescent="0.25">
      <c r="A3" s="118" t="s">
        <v>327</v>
      </c>
      <c r="B3" s="118" t="s">
        <v>1</v>
      </c>
      <c r="C3" s="118" t="s">
        <v>456</v>
      </c>
      <c r="D3" s="118" t="s">
        <v>36</v>
      </c>
      <c r="E3" s="118" t="s">
        <v>37</v>
      </c>
      <c r="F3" s="118" t="s">
        <v>38</v>
      </c>
      <c r="G3" s="118" t="s">
        <v>39</v>
      </c>
      <c r="H3" s="118" t="s">
        <v>40</v>
      </c>
      <c r="I3" s="118" t="s">
        <v>41</v>
      </c>
      <c r="J3" s="118" t="s">
        <v>42</v>
      </c>
      <c r="K3" s="118" t="s">
        <v>505</v>
      </c>
      <c r="L3" s="118" t="s">
        <v>506</v>
      </c>
      <c r="M3" s="118" t="s">
        <v>507</v>
      </c>
    </row>
    <row r="4" spans="1:13" x14ac:dyDescent="0.25">
      <c r="A4" s="105">
        <v>1</v>
      </c>
      <c r="B4" s="105" t="s">
        <v>328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329</v>
      </c>
      <c r="C5" s="113">
        <v>0</v>
      </c>
      <c r="D5" s="107">
        <f>'P&amp;L'!B9</f>
        <v>553.54</v>
      </c>
      <c r="E5" s="107">
        <f>'P&amp;L'!C9</f>
        <v>675.92700000000002</v>
      </c>
      <c r="F5" s="107">
        <f>'P&amp;L'!D9</f>
        <v>789.82060000000013</v>
      </c>
      <c r="G5" s="107">
        <f>'P&amp;L'!E9</f>
        <v>911.78370000000007</v>
      </c>
      <c r="H5" s="107">
        <f>'P&amp;L'!F9</f>
        <v>1044.0075000000002</v>
      </c>
      <c r="I5" s="107">
        <f>'P&amp;L'!G9</f>
        <v>1188.1994999999999</v>
      </c>
      <c r="J5" s="107">
        <f>'P&amp;L'!H9</f>
        <v>1344.5357999999999</v>
      </c>
      <c r="K5" s="107">
        <f>'P&amp;L'!I9</f>
        <v>1512.6273000000001</v>
      </c>
      <c r="L5" s="107">
        <f>'P&amp;L'!J9</f>
        <v>1592.7312999999999</v>
      </c>
      <c r="M5" s="107">
        <f>'P&amp;L'!K9</f>
        <v>1778.6394</v>
      </c>
    </row>
    <row r="6" spans="1:13" x14ac:dyDescent="0.25">
      <c r="A6" s="105">
        <v>2</v>
      </c>
      <c r="B6" s="105" t="s">
        <v>330</v>
      </c>
      <c r="C6" s="181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303</v>
      </c>
      <c r="C7" s="181">
        <f>BS!B7</f>
        <v>39.05993324166667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331</v>
      </c>
      <c r="C8" s="105"/>
      <c r="D8" s="108">
        <f>BS!C21</f>
        <v>15.581564525000001</v>
      </c>
      <c r="E8" s="108">
        <f>BS!D21-BS!C21</f>
        <v>4.7831626012499875</v>
      </c>
      <c r="F8" s="108">
        <f>BS!E21-BS!D21</f>
        <v>3.4028424188125186</v>
      </c>
      <c r="G8" s="108">
        <f>BS!F21-BS!E21</f>
        <v>3.7515828522531187</v>
      </c>
      <c r="H8" s="108">
        <f>BS!G21-BS!F21</f>
        <v>4.3808975886157882</v>
      </c>
      <c r="I8" s="108">
        <f>BS!H21-BS!G21</f>
        <v>4.4296851555465544</v>
      </c>
      <c r="J8" s="108">
        <f>BS!I21-BS!H21</f>
        <v>5.2346745383239153</v>
      </c>
      <c r="K8" s="108">
        <f>BS!J21-BS!I21</f>
        <v>5.2855295464900962</v>
      </c>
      <c r="L8" s="108">
        <f>BS!K21-BS!J21</f>
        <v>2.8446513050646161</v>
      </c>
      <c r="M8" s="108">
        <f>BS!L21-BS!K21</f>
        <v>5.7439001203178179</v>
      </c>
    </row>
    <row r="9" spans="1:13" x14ac:dyDescent="0.25">
      <c r="A9" s="105">
        <v>5</v>
      </c>
      <c r="B9" s="105" t="s">
        <v>332</v>
      </c>
      <c r="C9" s="181">
        <f>BS!B13</f>
        <v>50.799117600000002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x14ac:dyDescent="0.25">
      <c r="A10" s="105">
        <v>6</v>
      </c>
      <c r="B10" s="105" t="s">
        <v>333</v>
      </c>
      <c r="C10" s="105"/>
      <c r="D10" s="108">
        <f>BS!C22</f>
        <v>49.173747300000002</v>
      </c>
      <c r="E10" s="108">
        <f>BS!D22-BS!C22</f>
        <v>6.8030081983333375</v>
      </c>
      <c r="F10" s="108">
        <f>BS!E22-BS!D22</f>
        <v>9.2107434415833254</v>
      </c>
      <c r="G10" s="108">
        <f>BS!F22-BS!E22</f>
        <v>9.8934853636625064</v>
      </c>
      <c r="H10" s="108">
        <f>BS!G22-BS!F22</f>
        <v>10.751528215178951</v>
      </c>
      <c r="I10" s="108">
        <f>BS!H22-BS!G22</f>
        <v>11.639953125937893</v>
      </c>
      <c r="J10" s="108">
        <f>BS!I22-BS!H22</f>
        <v>12.62144644890148</v>
      </c>
      <c r="K10" s="108">
        <f>BS!J22-BS!I22</f>
        <v>13.470639771346526</v>
      </c>
      <c r="L10" s="108">
        <f>BS!K22-BS!J22</f>
        <v>5.6934982599138806</v>
      </c>
      <c r="M10" s="108">
        <f>BS!L22-BS!K22</f>
        <v>15.622337339576234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334</v>
      </c>
      <c r="C12" s="109">
        <f>SUM(C5:C11)</f>
        <v>89.859050841666672</v>
      </c>
      <c r="D12" s="109">
        <f>SUM(D5:D11)</f>
        <v>618.295311825</v>
      </c>
      <c r="E12" s="109">
        <f t="shared" ref="E12:M12" si="0">SUM(E5:E11)</f>
        <v>687.51317079958335</v>
      </c>
      <c r="F12" s="109">
        <f t="shared" si="0"/>
        <v>802.43418586039593</v>
      </c>
      <c r="G12" s="109">
        <f t="shared" si="0"/>
        <v>925.42876821591574</v>
      </c>
      <c r="H12" s="109">
        <f t="shared" si="0"/>
        <v>1059.139925803795</v>
      </c>
      <c r="I12" s="109">
        <f t="shared" si="0"/>
        <v>1204.2691382814844</v>
      </c>
      <c r="J12" s="109">
        <f t="shared" si="0"/>
        <v>1362.3919209872251</v>
      </c>
      <c r="K12" s="109">
        <f t="shared" si="0"/>
        <v>1531.3834693178367</v>
      </c>
      <c r="L12" s="109">
        <f t="shared" si="0"/>
        <v>1601.2694495649785</v>
      </c>
      <c r="M12" s="109">
        <f t="shared" si="0"/>
        <v>1800.0056374598942</v>
      </c>
    </row>
    <row r="13" spans="1:13" x14ac:dyDescent="0.25">
      <c r="A13" s="310" t="s">
        <v>335</v>
      </c>
      <c r="B13" s="310"/>
      <c r="C13" s="110"/>
      <c r="D13" s="111"/>
      <c r="E13" s="111"/>
      <c r="F13" s="111"/>
      <c r="G13" s="111"/>
      <c r="H13" s="111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336</v>
      </c>
      <c r="C14" s="105"/>
      <c r="D14" s="111"/>
      <c r="E14" s="111"/>
      <c r="F14" s="111"/>
      <c r="G14" s="111"/>
      <c r="H14" s="111"/>
      <c r="I14" s="36"/>
      <c r="J14" s="36"/>
      <c r="K14" s="36"/>
      <c r="L14" s="36"/>
      <c r="M14" s="36"/>
    </row>
    <row r="15" spans="1:13" x14ac:dyDescent="0.25">
      <c r="A15" s="112" t="s">
        <v>337</v>
      </c>
      <c r="B15" s="111" t="s">
        <v>441</v>
      </c>
      <c r="C15" s="182">
        <f>'Project Glance'!B6+'Project Glance'!B7+'Project Glance'!B8+'Project Glance'!B9</f>
        <v>80.633520000000004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2" t="s">
        <v>338</v>
      </c>
      <c r="B16" s="111" t="s">
        <v>340</v>
      </c>
      <c r="C16" s="182">
        <f>'Project Glance'!B10</f>
        <v>4.031676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2" t="s">
        <v>339</v>
      </c>
      <c r="B17" s="111" t="s">
        <v>21</v>
      </c>
      <c r="C17" s="182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2" t="s">
        <v>442</v>
      </c>
      <c r="B18" s="111" t="s">
        <v>443</v>
      </c>
      <c r="C18" s="182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2"/>
      <c r="B19" s="111"/>
      <c r="C19" s="111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x14ac:dyDescent="0.25">
      <c r="A20" s="105">
        <v>2</v>
      </c>
      <c r="B20" s="105" t="s">
        <v>341</v>
      </c>
      <c r="C20" s="105"/>
      <c r="D20" s="111"/>
      <c r="E20" s="111"/>
      <c r="F20" s="111"/>
      <c r="G20" s="111"/>
      <c r="H20" s="111"/>
      <c r="I20" s="36"/>
      <c r="J20" s="36"/>
      <c r="K20" s="36"/>
      <c r="L20" s="36"/>
      <c r="M20" s="36"/>
    </row>
    <row r="21" spans="1:13" x14ac:dyDescent="0.25">
      <c r="A21" s="112" t="s">
        <v>337</v>
      </c>
      <c r="B21" s="111" t="s">
        <v>342</v>
      </c>
      <c r="C21" s="111"/>
      <c r="D21" s="108">
        <f>'P&amp;L'!B23</f>
        <v>8.1611676000000006</v>
      </c>
      <c r="E21" s="108">
        <f>'P&amp;L'!C23</f>
        <v>8.5692259800000006</v>
      </c>
      <c r="F21" s="108">
        <f>'P&amp;L'!D23</f>
        <v>8.9976872790000009</v>
      </c>
      <c r="G21" s="108">
        <f>'P&amp;L'!E23</f>
        <v>9.4475716429500025</v>
      </c>
      <c r="H21" s="108">
        <f>'P&amp;L'!F23</f>
        <v>9.9199502250975016</v>
      </c>
      <c r="I21" s="108">
        <f>'P&amp;L'!G23</f>
        <v>10.415947736352379</v>
      </c>
      <c r="J21" s="108">
        <f>'P&amp;L'!H23</f>
        <v>10.936745123169995</v>
      </c>
      <c r="K21" s="108">
        <f>'P&amp;L'!I23</f>
        <v>11.483582379328496</v>
      </c>
      <c r="L21" s="108">
        <f>'P&amp;L'!J23</f>
        <v>12.057761498294921</v>
      </c>
      <c r="M21" s="108">
        <f>'P&amp;L'!K23</f>
        <v>12.660649573209669</v>
      </c>
    </row>
    <row r="22" spans="1:13" x14ac:dyDescent="0.25">
      <c r="A22" s="112" t="s">
        <v>338</v>
      </c>
      <c r="B22" s="111" t="s">
        <v>343</v>
      </c>
      <c r="C22" s="111"/>
      <c r="D22" s="107">
        <f>'P&amp;L'!B25</f>
        <v>16.2988</v>
      </c>
      <c r="E22" s="107">
        <f>'P&amp;L'!C25</f>
        <v>18.916240000000002</v>
      </c>
      <c r="F22" s="107">
        <f>'P&amp;L'!D25</f>
        <v>21.41</v>
      </c>
      <c r="G22" s="107">
        <f>'P&amp;L'!E25</f>
        <v>24.111440000000005</v>
      </c>
      <c r="H22" s="107">
        <f>'P&amp;L'!F25</f>
        <v>26.770199999999996</v>
      </c>
      <c r="I22" s="107">
        <f>'P&amp;L'!G25</f>
        <v>29.663640000000004</v>
      </c>
      <c r="J22" s="107">
        <f>'P&amp;L'!H25</f>
        <v>32.505400000000002</v>
      </c>
      <c r="K22" s="107">
        <f>'P&amp;L'!I25</f>
        <v>34.89584</v>
      </c>
      <c r="L22" s="107">
        <f>'P&amp;L'!J25</f>
        <v>34.91384</v>
      </c>
      <c r="M22" s="107">
        <f>'P&amp;L'!K25</f>
        <v>37.132599999999996</v>
      </c>
    </row>
    <row r="23" spans="1:13" x14ac:dyDescent="0.25">
      <c r="A23" s="112" t="s">
        <v>339</v>
      </c>
      <c r="B23" s="111" t="s">
        <v>354</v>
      </c>
      <c r="C23" s="111"/>
      <c r="D23" s="107">
        <f>'P&amp;L'!B16</f>
        <v>565.625</v>
      </c>
      <c r="E23" s="107">
        <f>'P&amp;L'!C16</f>
        <v>644.23559999999998</v>
      </c>
      <c r="F23" s="107">
        <f>'P&amp;L'!D16</f>
        <v>751.84230000000002</v>
      </c>
      <c r="G23" s="107">
        <f>'P&amp;L'!E16</f>
        <v>867.41279999999995</v>
      </c>
      <c r="H23" s="107">
        <f>'P&amp;L'!F16</f>
        <v>993.3</v>
      </c>
      <c r="I23" s="107">
        <f>'P&amp;L'!G16</f>
        <v>1129.5899999999999</v>
      </c>
      <c r="J23" s="107">
        <f>'P&amp;L'!H16</f>
        <v>1277.6848</v>
      </c>
      <c r="K23" s="107">
        <f>'P&amp;L'!I16</f>
        <v>1436.3951999999999</v>
      </c>
      <c r="L23" s="107">
        <f>'P&amp;L'!J16</f>
        <v>1504.125</v>
      </c>
      <c r="M23" s="107">
        <f>'P&amp;L'!K16</f>
        <v>1688.7714000000001</v>
      </c>
    </row>
    <row r="24" spans="1:13" hidden="1" x14ac:dyDescent="0.25">
      <c r="A24" s="112" t="s">
        <v>442</v>
      </c>
      <c r="B24" s="111" t="s">
        <v>467</v>
      </c>
      <c r="C24" s="111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344</v>
      </c>
      <c r="C25" s="105"/>
      <c r="D25" s="183">
        <f>BS!B20-BS!C20</f>
        <v>0</v>
      </c>
      <c r="E25" s="183">
        <f>BS!C20-BS!D20</f>
        <v>0</v>
      </c>
      <c r="F25" s="183">
        <f>BS!D20-BS!E20</f>
        <v>0</v>
      </c>
      <c r="G25" s="183">
        <f>BS!E20-BS!F20</f>
        <v>0</v>
      </c>
      <c r="H25" s="183">
        <f>BS!F20-BS!G20</f>
        <v>0</v>
      </c>
      <c r="I25" s="183">
        <f>BS!G20-BS!H20</f>
        <v>0</v>
      </c>
      <c r="J25" s="183">
        <f>BS!H20-BS!I20</f>
        <v>0</v>
      </c>
      <c r="K25" s="183">
        <f>BS!I20-BS!J20</f>
        <v>0</v>
      </c>
      <c r="L25" s="183">
        <f>BS!J20-BS!K20</f>
        <v>0</v>
      </c>
      <c r="M25" s="183">
        <f>BS!K20-BS!L20</f>
        <v>0</v>
      </c>
    </row>
    <row r="26" spans="1:13" x14ac:dyDescent="0.25">
      <c r="A26" s="112" t="s">
        <v>337</v>
      </c>
      <c r="B26" s="111" t="s">
        <v>345</v>
      </c>
      <c r="C26" s="111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2" t="s">
        <v>338</v>
      </c>
      <c r="B27" s="111" t="s">
        <v>346</v>
      </c>
      <c r="C27" s="111"/>
      <c r="D27" s="108">
        <f>'P&amp;L'!B31</f>
        <v>1.4023408072500001</v>
      </c>
      <c r="E27" s="108">
        <f>'P&amp;L'!C31</f>
        <v>1.8328254413624989</v>
      </c>
      <c r="F27" s="108">
        <f>'P&amp;L'!D31</f>
        <v>2.1390812590556254</v>
      </c>
      <c r="G27" s="108">
        <f>'P&amp;L'!E31</f>
        <v>2.4767237157584061</v>
      </c>
      <c r="H27" s="108">
        <f>'P&amp;L'!F31</f>
        <v>2.8710044987338272</v>
      </c>
      <c r="I27" s="108">
        <f>'P&amp;L'!G31</f>
        <v>3.2696761627330169</v>
      </c>
      <c r="J27" s="108">
        <f>'P&amp;L'!H31</f>
        <v>3.7407968711821695</v>
      </c>
      <c r="K27" s="108">
        <f>'P&amp;L'!I31</f>
        <v>4.216494530366278</v>
      </c>
      <c r="L27" s="108">
        <f>'P&amp;L'!J31</f>
        <v>4.4725131478220934</v>
      </c>
      <c r="M27" s="108">
        <f>'P&amp;L'!K31</f>
        <v>4.9894641586506969</v>
      </c>
    </row>
    <row r="28" spans="1:13" x14ac:dyDescent="0.25">
      <c r="A28" s="105">
        <v>4</v>
      </c>
      <c r="B28" s="105" t="s">
        <v>347</v>
      </c>
      <c r="C28" s="105"/>
      <c r="D28" s="108">
        <f>BS!C36</f>
        <v>23.064166666666665</v>
      </c>
      <c r="E28" s="108">
        <f>BS!D36-BS!C36</f>
        <v>5.0994583333333345</v>
      </c>
      <c r="F28" s="108">
        <f>BS!E36-BS!D36</f>
        <v>4.7455666666666723</v>
      </c>
      <c r="G28" s="108">
        <f>BS!F36-BS!E36</f>
        <v>5.0817958333333308</v>
      </c>
      <c r="H28" s="108">
        <f>BS!G36-BS!F36</f>
        <v>5.509325000000004</v>
      </c>
      <c r="I28" s="108">
        <f>BS!H36-BS!G36</f>
        <v>6.0079999999999885</v>
      </c>
      <c r="J28" s="108">
        <f>BS!I36-BS!H36</f>
        <v>6.5140124999999998</v>
      </c>
      <c r="K28" s="108">
        <f>BS!J36-BS!I36</f>
        <v>7.0038125000000093</v>
      </c>
      <c r="L28" s="108">
        <f>BS!K36-BS!J36</f>
        <v>3.3376666666666637</v>
      </c>
      <c r="M28" s="108">
        <f>BS!L36-BS!K36</f>
        <v>7.7461708333333377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348</v>
      </c>
      <c r="C30" s="105"/>
      <c r="D30" s="108">
        <f>'P&amp;L'!B35</f>
        <v>0</v>
      </c>
      <c r="E30" s="108">
        <f>'P&amp;L'!C35</f>
        <v>0.78323135576627412</v>
      </c>
      <c r="F30" s="108">
        <f>'P&amp;L'!D35</f>
        <v>1.9396915595833393</v>
      </c>
      <c r="G30" s="108">
        <f>'P&amp;L'!E35</f>
        <v>3.3065311112375158</v>
      </c>
      <c r="H30" s="108">
        <f>'P&amp;L'!F35</f>
        <v>4.7522183598731598</v>
      </c>
      <c r="I30" s="108">
        <f>'P&amp;L'!G35</f>
        <v>6.3173592667434324</v>
      </c>
      <c r="J30" s="108">
        <f>'P&amp;L'!H35</f>
        <v>8.2753681526931349</v>
      </c>
      <c r="K30" s="108">
        <f>'P&amp;L'!I35</f>
        <v>10.344436479040516</v>
      </c>
      <c r="L30" s="108">
        <f>'P&amp;L'!J35</f>
        <v>11.725078989161458</v>
      </c>
      <c r="M30" s="108">
        <f>'P&amp;L'!K35</f>
        <v>14.03455980504503</v>
      </c>
    </row>
    <row r="31" spans="1:13" x14ac:dyDescent="0.25">
      <c r="A31" s="105">
        <v>6</v>
      </c>
      <c r="B31" s="105" t="s">
        <v>349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350</v>
      </c>
      <c r="C32" s="113">
        <f>SUM(C15:C31)</f>
        <v>84.665196000000009</v>
      </c>
      <c r="D32" s="113">
        <f>SUM(D15:D31)</f>
        <v>614.55147507391666</v>
      </c>
      <c r="E32" s="113">
        <f t="shared" ref="E32:J32" si="1">SUM(E15:E31)</f>
        <v>679.43658111046204</v>
      </c>
      <c r="F32" s="113">
        <f t="shared" si="1"/>
        <v>791.07432676430574</v>
      </c>
      <c r="G32" s="113">
        <f t="shared" si="1"/>
        <v>911.8368623032793</v>
      </c>
      <c r="H32" s="113">
        <f t="shared" si="1"/>
        <v>1043.1226980837046</v>
      </c>
      <c r="I32" s="113">
        <f t="shared" si="1"/>
        <v>1185.2646231658287</v>
      </c>
      <c r="J32" s="113">
        <f t="shared" si="1"/>
        <v>1339.6571226470451</v>
      </c>
      <c r="K32" s="113">
        <f t="shared" ref="K32:M32" si="2">SUM(K15:K31)</f>
        <v>1504.3393658887353</v>
      </c>
      <c r="L32" s="113">
        <f t="shared" si="2"/>
        <v>1570.6318603019449</v>
      </c>
      <c r="M32" s="113">
        <f t="shared" si="2"/>
        <v>1765.3348443702389</v>
      </c>
    </row>
    <row r="33" spans="1:13" x14ac:dyDescent="0.25">
      <c r="A33" s="105"/>
      <c r="B33" s="105" t="s">
        <v>351</v>
      </c>
      <c r="C33" s="113">
        <f t="shared" ref="C33:J33" si="3">C12-C32</f>
        <v>5.1938548416666634</v>
      </c>
      <c r="D33" s="113">
        <f t="shared" si="3"/>
        <v>3.7438367510833359</v>
      </c>
      <c r="E33" s="113">
        <f t="shared" si="3"/>
        <v>8.076589689121306</v>
      </c>
      <c r="F33" s="113">
        <f t="shared" si="3"/>
        <v>11.35985909609019</v>
      </c>
      <c r="G33" s="113">
        <f t="shared" si="3"/>
        <v>13.591905912636435</v>
      </c>
      <c r="H33" s="113">
        <f t="shared" si="3"/>
        <v>16.017227720090432</v>
      </c>
      <c r="I33" s="113">
        <f t="shared" si="3"/>
        <v>19.004515115655749</v>
      </c>
      <c r="J33" s="113">
        <f t="shared" si="3"/>
        <v>22.734798340180078</v>
      </c>
      <c r="K33" s="113">
        <f t="shared" ref="K33:M33" si="4">K12-K32</f>
        <v>27.044103429101369</v>
      </c>
      <c r="L33" s="113">
        <f t="shared" si="4"/>
        <v>30.637589263033533</v>
      </c>
      <c r="M33" s="113">
        <f t="shared" si="4"/>
        <v>34.670793089655263</v>
      </c>
    </row>
    <row r="34" spans="1:13" x14ac:dyDescent="0.25">
      <c r="A34" s="114"/>
      <c r="B34" s="111" t="s">
        <v>352</v>
      </c>
      <c r="C34" s="111"/>
      <c r="D34" s="108">
        <f>C35</f>
        <v>5.1938548416666634</v>
      </c>
      <c r="E34" s="108">
        <f>D35</f>
        <v>8.9376915927499994</v>
      </c>
      <c r="F34" s="108">
        <f t="shared" ref="F34:J34" si="5">E35</f>
        <v>17.014281281871305</v>
      </c>
      <c r="G34" s="108">
        <f t="shared" si="5"/>
        <v>28.374140377961496</v>
      </c>
      <c r="H34" s="108">
        <f t="shared" si="5"/>
        <v>41.96604629059793</v>
      </c>
      <c r="I34" s="108">
        <f t="shared" si="5"/>
        <v>57.983274010688362</v>
      </c>
      <c r="J34" s="108">
        <f t="shared" si="5"/>
        <v>76.987789126344111</v>
      </c>
      <c r="K34" s="108">
        <f t="shared" ref="K34" si="6">J35</f>
        <v>99.722587466524189</v>
      </c>
      <c r="L34" s="108">
        <f t="shared" ref="L34" si="7">K35</f>
        <v>126.76669089562556</v>
      </c>
      <c r="M34" s="108">
        <f t="shared" ref="M34" si="8">L35</f>
        <v>157.40428015865911</v>
      </c>
    </row>
    <row r="35" spans="1:13" x14ac:dyDescent="0.25">
      <c r="A35" s="105"/>
      <c r="B35" s="115" t="s">
        <v>353</v>
      </c>
      <c r="C35" s="113">
        <f>C33+C34</f>
        <v>5.1938548416666634</v>
      </c>
      <c r="D35" s="113">
        <f>D33+D34</f>
        <v>8.9376915927499994</v>
      </c>
      <c r="E35" s="113">
        <f t="shared" ref="E35:J35" si="9">E33+E34</f>
        <v>17.014281281871305</v>
      </c>
      <c r="F35" s="113">
        <f t="shared" si="9"/>
        <v>28.374140377961496</v>
      </c>
      <c r="G35" s="113">
        <f t="shared" si="9"/>
        <v>41.96604629059793</v>
      </c>
      <c r="H35" s="113">
        <f t="shared" si="9"/>
        <v>57.983274010688362</v>
      </c>
      <c r="I35" s="113">
        <f t="shared" si="9"/>
        <v>76.987789126344111</v>
      </c>
      <c r="J35" s="113">
        <f t="shared" si="9"/>
        <v>99.722587466524189</v>
      </c>
      <c r="K35" s="113">
        <f t="shared" ref="K35:M35" si="10">K33+K34</f>
        <v>126.76669089562556</v>
      </c>
      <c r="L35" s="113">
        <f t="shared" si="10"/>
        <v>157.40428015865911</v>
      </c>
      <c r="M35" s="113">
        <f t="shared" si="10"/>
        <v>192.07507324831437</v>
      </c>
    </row>
    <row r="37" spans="1:13" x14ac:dyDescent="0.25">
      <c r="C37" s="116">
        <f>BS!B47</f>
        <v>5.1938548416666634</v>
      </c>
      <c r="D37" s="116">
        <f>BS!C47</f>
        <v>8.9376915927499994</v>
      </c>
      <c r="E37" s="116">
        <f>BS!D47</f>
        <v>17.014281281871305</v>
      </c>
      <c r="F37" s="116">
        <f>BS!E47</f>
        <v>28.374140377961496</v>
      </c>
      <c r="G37" s="116">
        <f>BS!F47</f>
        <v>41.96604629059793</v>
      </c>
      <c r="H37" s="116">
        <f>BS!G47</f>
        <v>57.983274010688362</v>
      </c>
      <c r="I37" s="116">
        <f>BS!H47</f>
        <v>76.987789126344111</v>
      </c>
      <c r="J37" s="116">
        <f>BS!I47</f>
        <v>99.722587466524189</v>
      </c>
      <c r="K37" s="116">
        <f>BS!J47</f>
        <v>126.76669089562556</v>
      </c>
      <c r="L37" s="116">
        <f>BS!K47</f>
        <v>157.40428015865911</v>
      </c>
      <c r="M37" s="116">
        <f>BS!L47</f>
        <v>192.07507324831437</v>
      </c>
    </row>
    <row r="38" spans="1:13" x14ac:dyDescent="0.25">
      <c r="D38" s="116"/>
    </row>
    <row r="39" spans="1:13" x14ac:dyDescent="0.25">
      <c r="C39" s="116">
        <f>C35-C37</f>
        <v>0</v>
      </c>
      <c r="D39" s="116">
        <f>D35-D37</f>
        <v>0</v>
      </c>
      <c r="E39" s="116">
        <f t="shared" ref="E39:J39" si="11">E35-E37</f>
        <v>0</v>
      </c>
      <c r="F39" s="116">
        <f t="shared" si="11"/>
        <v>0</v>
      </c>
      <c r="G39" s="116">
        <f t="shared" si="11"/>
        <v>0</v>
      </c>
      <c r="H39" s="116">
        <f t="shared" si="11"/>
        <v>0</v>
      </c>
      <c r="I39" s="116">
        <f t="shared" si="11"/>
        <v>0</v>
      </c>
      <c r="J39" s="116">
        <f t="shared" si="11"/>
        <v>0</v>
      </c>
      <c r="K39" s="116">
        <f t="shared" ref="K39:M39" si="12">K35-K37</f>
        <v>0</v>
      </c>
      <c r="L39" s="116">
        <f t="shared" si="12"/>
        <v>0</v>
      </c>
      <c r="M39" s="116">
        <f t="shared" si="12"/>
        <v>0</v>
      </c>
    </row>
    <row r="40" spans="1:13" x14ac:dyDescent="0.25">
      <c r="D40" s="117"/>
      <c r="E40" s="116"/>
      <c r="F40" s="116"/>
      <c r="G40" s="116"/>
      <c r="H40" s="116"/>
      <c r="I40" s="116"/>
      <c r="J40" s="116"/>
    </row>
    <row r="41" spans="1:13" x14ac:dyDescent="0.25">
      <c r="D41" s="116"/>
      <c r="E41" s="116"/>
      <c r="F41" s="116"/>
      <c r="G41" s="116"/>
      <c r="H41" s="116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456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457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458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459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11"/>
      <c r="C1" s="311"/>
      <c r="D1" s="311"/>
      <c r="E1" s="311"/>
      <c r="F1" s="311"/>
      <c r="G1" s="311"/>
      <c r="H1" s="81"/>
      <c r="I1" s="81"/>
    </row>
    <row r="2" spans="1:9" ht="15.75" thickBot="1" x14ac:dyDescent="0.3"/>
    <row r="3" spans="1:9" ht="15.75" thickBot="1" x14ac:dyDescent="0.3">
      <c r="B3" s="312" t="s">
        <v>196</v>
      </c>
      <c r="C3" s="313"/>
      <c r="D3" s="313"/>
      <c r="E3" s="313"/>
      <c r="F3" s="313"/>
      <c r="G3" s="314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197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198</v>
      </c>
    </row>
    <row r="7" spans="1:9" x14ac:dyDescent="0.25">
      <c r="B7" s="15" t="s">
        <v>199</v>
      </c>
      <c r="C7" s="103" t="s">
        <v>45</v>
      </c>
      <c r="D7" s="103" t="s">
        <v>200</v>
      </c>
      <c r="E7" s="103" t="s">
        <v>201</v>
      </c>
      <c r="F7" s="103" t="s">
        <v>202</v>
      </c>
      <c r="G7" s="103" t="s">
        <v>203</v>
      </c>
    </row>
    <row r="8" spans="1:9" x14ac:dyDescent="0.25">
      <c r="A8" s="1" t="s">
        <v>204</v>
      </c>
      <c r="B8" s="6" t="s">
        <v>205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206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207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208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209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210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211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212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213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214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215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216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217</v>
      </c>
      <c r="B20" s="6" t="s">
        <v>218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219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220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221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222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223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224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225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226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227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228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229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230</v>
      </c>
      <c r="B32" s="6" t="s">
        <v>231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232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233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234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235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236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237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238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239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240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241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242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243</v>
      </c>
      <c r="B44" s="6" t="s">
        <v>244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245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246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247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248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249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250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251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252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253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254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255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256</v>
      </c>
      <c r="B56" s="6" t="s">
        <v>257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258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259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260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261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262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263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264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265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266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267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268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269</v>
      </c>
      <c r="B68" s="6" t="s">
        <v>270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271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272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273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274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275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276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277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278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279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280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281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294</v>
      </c>
      <c r="B80" s="6" t="s">
        <v>282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283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284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285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286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287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288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289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290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291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292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293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="60" zoomScaleNormal="100" workbookViewId="0">
      <selection activeCell="A4" sqref="A4:K25"/>
    </sheetView>
  </sheetViews>
  <sheetFormatPr defaultRowHeight="15" x14ac:dyDescent="0.25"/>
  <cols>
    <col min="1" max="1" width="38.42578125" style="1" bestFit="1" customWidth="1"/>
    <col min="2" max="2" width="10.42578125" style="1" bestFit="1" customWidth="1"/>
    <col min="3" max="6" width="6.28515625" style="1" bestFit="1" customWidth="1"/>
    <col min="7" max="11" width="6.85546875" style="1" bestFit="1" customWidth="1"/>
    <col min="12" max="16384" width="9.140625" style="1"/>
  </cols>
  <sheetData>
    <row r="2" spans="1:11" x14ac:dyDescent="0.25">
      <c r="A2" s="311" t="s">
        <v>517</v>
      </c>
      <c r="B2" s="311"/>
      <c r="C2" s="311"/>
      <c r="D2" s="311"/>
      <c r="E2" s="311"/>
      <c r="F2" s="311"/>
      <c r="G2" s="311"/>
      <c r="H2" s="311"/>
    </row>
    <row r="4" spans="1:11" x14ac:dyDescent="0.25">
      <c r="A4" s="15" t="s">
        <v>504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505</v>
      </c>
      <c r="J4" s="15" t="s">
        <v>506</v>
      </c>
      <c r="K4" s="15" t="s">
        <v>507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508</v>
      </c>
      <c r="B6" s="232">
        <f>'P&amp;L'!B36</f>
        <v>5.2505821767499556</v>
      </c>
      <c r="C6" s="232">
        <f>'P&amp;L'!C36</f>
        <v>5.9838678068712641</v>
      </c>
      <c r="D6" s="232">
        <f>'P&amp;L'!D36</f>
        <v>8.8070304863611266</v>
      </c>
      <c r="E6" s="232">
        <f>'P&amp;L'!E36</f>
        <v>11.155324114054206</v>
      </c>
      <c r="F6" s="232">
        <f>'P&amp;L'!F36</f>
        <v>13.790417500295709</v>
      </c>
      <c r="G6" s="232">
        <f>'P&amp;L'!G36</f>
        <v>16.793967418170929</v>
      </c>
      <c r="H6" s="232">
        <f>'P&amp;L'!H36</f>
        <v>20.792580436954793</v>
      </c>
      <c r="I6" s="232">
        <f>'P&amp;L'!I36</f>
        <v>25.118837195264724</v>
      </c>
      <c r="J6" s="232">
        <f>'P&amp;L'!J36</f>
        <v>27.898696948721401</v>
      </c>
      <c r="K6" s="232">
        <f>'P&amp;L'!K36</f>
        <v>32.8983170470947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518</v>
      </c>
      <c r="B8" s="232">
        <f>'P&amp;L'!B32</f>
        <v>3.2839418159999996</v>
      </c>
      <c r="C8" s="232">
        <f>'P&amp;L'!C32</f>
        <v>3.2839418159999996</v>
      </c>
      <c r="D8" s="232">
        <f>'P&amp;L'!D32</f>
        <v>3.2839418159999996</v>
      </c>
      <c r="E8" s="232">
        <f>'P&amp;L'!E32</f>
        <v>3.2839418159999996</v>
      </c>
      <c r="F8" s="232">
        <f>'P&amp;L'!F32</f>
        <v>3.2839418159999996</v>
      </c>
      <c r="G8" s="232">
        <f>'P&amp;L'!G32</f>
        <v>3.2839418159999996</v>
      </c>
      <c r="H8" s="232">
        <f>'P&amp;L'!H32</f>
        <v>3.2839418159999996</v>
      </c>
      <c r="I8" s="232">
        <f>'P&amp;L'!I32</f>
        <v>3.2839418159999996</v>
      </c>
      <c r="J8" s="232">
        <f>'P&amp;L'!J32</f>
        <v>3.2839418159999996</v>
      </c>
      <c r="K8" s="232">
        <f>'P&amp;L'!K32</f>
        <v>3.2839418159999996</v>
      </c>
    </row>
    <row r="9" spans="1:11" x14ac:dyDescent="0.25">
      <c r="A9" s="10" t="s">
        <v>519</v>
      </c>
      <c r="B9" s="232">
        <f>'P&amp;L'!B27</f>
        <v>0.40316760000000001</v>
      </c>
      <c r="C9" s="232">
        <f>'P&amp;L'!C27</f>
        <v>0.40316760000000001</v>
      </c>
      <c r="D9" s="232">
        <f>'P&amp;L'!D27</f>
        <v>0.40316760000000001</v>
      </c>
      <c r="E9" s="232">
        <f>'P&amp;L'!E27</f>
        <v>0.40316760000000001</v>
      </c>
      <c r="F9" s="232">
        <f>'P&amp;L'!F27</f>
        <v>0.40316760000000001</v>
      </c>
      <c r="G9" s="232">
        <f>'P&amp;L'!G27</f>
        <v>0.40316760000000001</v>
      </c>
      <c r="H9" s="232">
        <f>'P&amp;L'!H27</f>
        <v>0.40316760000000001</v>
      </c>
      <c r="I9" s="232">
        <f>'P&amp;L'!I27</f>
        <v>0.40316760000000001</v>
      </c>
      <c r="J9" s="232">
        <f>'P&amp;L'!J27</f>
        <v>0.40316760000000001</v>
      </c>
      <c r="K9" s="232">
        <f>'P&amp;L'!K27</f>
        <v>0.40316760000000001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510</v>
      </c>
      <c r="B11" s="232">
        <f>SUM(B6:B9)</f>
        <v>8.9376915927499549</v>
      </c>
      <c r="C11" s="232">
        <f t="shared" ref="C11:K11" si="0">SUM(C6:C9)</f>
        <v>9.6709772228712634</v>
      </c>
      <c r="D11" s="232">
        <f t="shared" si="0"/>
        <v>12.494139902361127</v>
      </c>
      <c r="E11" s="232">
        <f t="shared" si="0"/>
        <v>14.842433530054205</v>
      </c>
      <c r="F11" s="232">
        <f t="shared" si="0"/>
        <v>17.477526916295709</v>
      </c>
      <c r="G11" s="232">
        <f t="shared" si="0"/>
        <v>20.481076834170928</v>
      </c>
      <c r="H11" s="232">
        <f t="shared" si="0"/>
        <v>24.479689852954792</v>
      </c>
      <c r="I11" s="232">
        <f t="shared" si="0"/>
        <v>28.805946611264723</v>
      </c>
      <c r="J11" s="232">
        <f t="shared" si="0"/>
        <v>31.5858063647214</v>
      </c>
      <c r="K11" s="232">
        <f t="shared" si="0"/>
        <v>36.585426463094706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520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521</v>
      </c>
      <c r="B15" s="19">
        <f>B11*B13</f>
        <v>8.1251741752272313</v>
      </c>
      <c r="C15" s="19">
        <f t="shared" ref="C15:K15" si="5">C11*C13</f>
        <v>7.9925431593977372</v>
      </c>
      <c r="D15" s="19">
        <f t="shared" si="5"/>
        <v>9.3870322331789069</v>
      </c>
      <c r="E15" s="19">
        <f t="shared" si="5"/>
        <v>10.137581811388703</v>
      </c>
      <c r="F15" s="19">
        <f t="shared" si="5"/>
        <v>10.852169136668323</v>
      </c>
      <c r="G15" s="19">
        <f t="shared" si="5"/>
        <v>11.561033932317835</v>
      </c>
      <c r="H15" s="19">
        <f t="shared" si="5"/>
        <v>12.5619515798136</v>
      </c>
      <c r="I15" s="19">
        <f t="shared" si="5"/>
        <v>13.438186688082544</v>
      </c>
      <c r="J15" s="19">
        <f t="shared" si="5"/>
        <v>13.395465253652812</v>
      </c>
      <c r="K15" s="19">
        <f t="shared" si="5"/>
        <v>14.10526566376376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522</v>
      </c>
      <c r="B17" s="19">
        <f>SUM(B15:K15)</f>
        <v>111.55640363349146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523</v>
      </c>
      <c r="B19" s="45">
        <f>'Project Glance'!B15</f>
        <v>89.859050841666672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6" t="s">
        <v>525</v>
      </c>
      <c r="B21" s="201">
        <f>B17-B19</f>
        <v>21.697352791824784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526</v>
      </c>
      <c r="B23" s="45">
        <f>'Project Glance'!B23-'Project Glance'!B20</f>
        <v>39.05993324166667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6" t="s">
        <v>524</v>
      </c>
      <c r="B25" s="201">
        <f>B17-B23</f>
        <v>72.496470391824786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80" workbookViewId="0">
      <selection activeCell="A3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15" t="s">
        <v>503</v>
      </c>
      <c r="B1" s="315"/>
      <c r="C1" s="315"/>
      <c r="D1" s="315"/>
      <c r="E1" s="315"/>
      <c r="F1" s="315"/>
      <c r="G1" s="315"/>
      <c r="H1" s="315"/>
      <c r="I1" s="237"/>
      <c r="J1" s="237"/>
      <c r="K1" s="237"/>
    </row>
    <row r="2" spans="1:13" x14ac:dyDescent="0.25">
      <c r="A2" s="225"/>
      <c r="B2" s="225"/>
      <c r="C2" s="225"/>
      <c r="D2" s="225"/>
      <c r="E2" s="225"/>
      <c r="F2" s="225"/>
      <c r="G2" s="225"/>
    </row>
    <row r="3" spans="1:13" x14ac:dyDescent="0.25">
      <c r="A3" s="246" t="s">
        <v>504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505</v>
      </c>
      <c r="J3" s="46" t="s">
        <v>506</v>
      </c>
      <c r="K3" s="46" t="s">
        <v>507</v>
      </c>
    </row>
    <row r="4" spans="1:13" x14ac:dyDescent="0.25">
      <c r="A4" s="227"/>
      <c r="B4" s="227"/>
      <c r="C4" s="227"/>
      <c r="D4" s="227"/>
      <c r="E4" s="227"/>
      <c r="F4" s="227"/>
      <c r="G4" s="227"/>
      <c r="H4" s="6"/>
      <c r="I4" s="6"/>
      <c r="J4" s="6"/>
      <c r="K4" s="6"/>
    </row>
    <row r="5" spans="1:13" x14ac:dyDescent="0.25">
      <c r="A5" s="227" t="s">
        <v>508</v>
      </c>
      <c r="B5" s="228">
        <f>'P&amp;L'!B36</f>
        <v>5.2505821767499556</v>
      </c>
      <c r="C5" s="228">
        <f>'P&amp;L'!C36</f>
        <v>5.9838678068712641</v>
      </c>
      <c r="D5" s="228">
        <f>'P&amp;L'!D36</f>
        <v>8.8070304863611266</v>
      </c>
      <c r="E5" s="228">
        <f>'P&amp;L'!E36</f>
        <v>11.155324114054206</v>
      </c>
      <c r="F5" s="228">
        <f>'P&amp;L'!F36</f>
        <v>13.790417500295709</v>
      </c>
      <c r="G5" s="228">
        <f>'P&amp;L'!G36</f>
        <v>16.793967418170929</v>
      </c>
      <c r="H5" s="228">
        <f>'P&amp;L'!H36</f>
        <v>20.792580436954793</v>
      </c>
      <c r="I5" s="228">
        <f>'P&amp;L'!I36</f>
        <v>25.118837195264724</v>
      </c>
      <c r="J5" s="228">
        <f>'P&amp;L'!J36</f>
        <v>27.898696948721401</v>
      </c>
      <c r="K5" s="228">
        <f>'P&amp;L'!K36</f>
        <v>32.8983170470947</v>
      </c>
      <c r="L5" s="226"/>
    </row>
    <row r="6" spans="1:13" x14ac:dyDescent="0.25">
      <c r="A6" s="227"/>
      <c r="B6" s="228"/>
      <c r="C6" s="228"/>
      <c r="D6" s="228"/>
      <c r="E6" s="228"/>
      <c r="F6" s="228"/>
      <c r="G6" s="227"/>
      <c r="H6" s="6"/>
      <c r="I6" s="6"/>
      <c r="J6" s="6"/>
      <c r="K6" s="6"/>
    </row>
    <row r="7" spans="1:13" x14ac:dyDescent="0.25">
      <c r="A7" s="229" t="s">
        <v>516</v>
      </c>
      <c r="B7" s="228">
        <f>'P&amp;L'!B32</f>
        <v>3.2839418159999996</v>
      </c>
      <c r="C7" s="228">
        <f>'P&amp;L'!C32</f>
        <v>3.2839418159999996</v>
      </c>
      <c r="D7" s="228">
        <f>'P&amp;L'!D32</f>
        <v>3.2839418159999996</v>
      </c>
      <c r="E7" s="228">
        <f>'P&amp;L'!E32</f>
        <v>3.2839418159999996</v>
      </c>
      <c r="F7" s="228">
        <f>'P&amp;L'!F32</f>
        <v>3.2839418159999996</v>
      </c>
      <c r="G7" s="228">
        <f>'P&amp;L'!G32</f>
        <v>3.2839418159999996</v>
      </c>
      <c r="H7" s="228">
        <f>'P&amp;L'!H32</f>
        <v>3.2839418159999996</v>
      </c>
      <c r="I7" s="228">
        <f>'P&amp;L'!I32</f>
        <v>3.2839418159999996</v>
      </c>
      <c r="J7" s="228">
        <f>'P&amp;L'!J32</f>
        <v>3.2839418159999996</v>
      </c>
      <c r="K7" s="228">
        <f>'P&amp;L'!K32</f>
        <v>3.2839418159999996</v>
      </c>
    </row>
    <row r="8" spans="1:13" x14ac:dyDescent="0.25">
      <c r="A8" s="227" t="s">
        <v>509</v>
      </c>
      <c r="B8" s="230">
        <f>'P&amp;L'!B27</f>
        <v>0.40316760000000001</v>
      </c>
      <c r="C8" s="230">
        <f>'P&amp;L'!C27</f>
        <v>0.40316760000000001</v>
      </c>
      <c r="D8" s="230">
        <f>'P&amp;L'!D27</f>
        <v>0.40316760000000001</v>
      </c>
      <c r="E8" s="230">
        <f>'P&amp;L'!E27</f>
        <v>0.40316760000000001</v>
      </c>
      <c r="F8" s="230">
        <f>'P&amp;L'!F27</f>
        <v>0.40316760000000001</v>
      </c>
      <c r="G8" s="230">
        <f>'P&amp;L'!G27</f>
        <v>0.40316760000000001</v>
      </c>
      <c r="H8" s="230">
        <f>'P&amp;L'!H27</f>
        <v>0.40316760000000001</v>
      </c>
      <c r="I8" s="230">
        <f>'P&amp;L'!I27</f>
        <v>0.40316760000000001</v>
      </c>
      <c r="J8" s="230">
        <f>'P&amp;L'!J27</f>
        <v>0.40316760000000001</v>
      </c>
      <c r="K8" s="230">
        <f>'P&amp;L'!K27</f>
        <v>0.40316760000000001</v>
      </c>
    </row>
    <row r="9" spans="1:13" x14ac:dyDescent="0.25">
      <c r="A9" s="227"/>
      <c r="B9" s="227"/>
      <c r="C9" s="227"/>
      <c r="D9" s="227"/>
      <c r="E9" s="227"/>
      <c r="F9" s="227"/>
      <c r="G9" s="227"/>
      <c r="H9" s="6"/>
      <c r="I9" s="6"/>
      <c r="J9" s="6"/>
      <c r="K9" s="6"/>
    </row>
    <row r="10" spans="1:13" x14ac:dyDescent="0.25">
      <c r="A10" s="227" t="s">
        <v>510</v>
      </c>
      <c r="B10" s="228">
        <f>SUM(B5:B8)</f>
        <v>8.9376915927499549</v>
      </c>
      <c r="C10" s="228">
        <f t="shared" ref="C10:K10" si="0">SUM(C5:C8)</f>
        <v>9.6709772228712634</v>
      </c>
      <c r="D10" s="228">
        <f t="shared" si="0"/>
        <v>12.494139902361127</v>
      </c>
      <c r="E10" s="228">
        <f t="shared" si="0"/>
        <v>14.842433530054205</v>
      </c>
      <c r="F10" s="228">
        <f t="shared" si="0"/>
        <v>17.477526916295709</v>
      </c>
      <c r="G10" s="228">
        <f t="shared" si="0"/>
        <v>20.481076834170928</v>
      </c>
      <c r="H10" s="228">
        <f t="shared" si="0"/>
        <v>24.479689852954792</v>
      </c>
      <c r="I10" s="228">
        <f t="shared" si="0"/>
        <v>28.805946611264723</v>
      </c>
      <c r="J10" s="228">
        <f t="shared" si="0"/>
        <v>31.5858063647214</v>
      </c>
      <c r="K10" s="228">
        <f t="shared" si="0"/>
        <v>36.585426463094706</v>
      </c>
    </row>
    <row r="11" spans="1:13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3" x14ac:dyDescent="0.25">
      <c r="A12" s="231" t="s">
        <v>652</v>
      </c>
      <c r="B12" s="72">
        <f>1/M12</f>
        <v>0.87631666579034995</v>
      </c>
      <c r="C12" s="232">
        <f t="shared" ref="C12:H12" si="1">B12/$M$12</f>
        <v>0.76793089874191589</v>
      </c>
      <c r="D12" s="232">
        <f t="shared" si="1"/>
        <v>0.67295064474290256</v>
      </c>
      <c r="E12" s="232">
        <f t="shared" si="1"/>
        <v>0.58971786524256664</v>
      </c>
      <c r="F12" s="232">
        <f t="shared" si="1"/>
        <v>0.51677959342636892</v>
      </c>
      <c r="G12" s="232">
        <f t="shared" si="1"/>
        <v>0.4528625702598883</v>
      </c>
      <c r="H12" s="232">
        <f t="shared" si="1"/>
        <v>0.39685101763139341</v>
      </c>
      <c r="I12" s="232">
        <f t="shared" ref="I12:K12" si="2">H12/$M$12</f>
        <v>0.34776716058625007</v>
      </c>
      <c r="J12" s="232">
        <f t="shared" si="2"/>
        <v>0.30475415863631988</v>
      </c>
      <c r="K12" s="232">
        <f t="shared" si="2"/>
        <v>0.26706114818192322</v>
      </c>
      <c r="M12" s="1">
        <v>1.14114</v>
      </c>
    </row>
    <row r="13" spans="1:13" x14ac:dyDescent="0.25">
      <c r="A13" s="227" t="s">
        <v>511</v>
      </c>
      <c r="B13" s="228">
        <f t="shared" ref="B13:H13" si="3">B10*B12</f>
        <v>7.8322480964210826</v>
      </c>
      <c r="C13" s="228">
        <f t="shared" si="3"/>
        <v>7.4266422304721269</v>
      </c>
      <c r="D13" s="228">
        <f t="shared" si="3"/>
        <v>8.4079395028019466</v>
      </c>
      <c r="E13" s="228">
        <f>E10*E12</f>
        <v>8.7528482163482586</v>
      </c>
      <c r="F13" s="228">
        <f t="shared" si="3"/>
        <v>9.0320292539017153</v>
      </c>
      <c r="G13" s="228">
        <f t="shared" si="3"/>
        <v>9.2751130968129019</v>
      </c>
      <c r="H13" s="228">
        <f t="shared" si="3"/>
        <v>9.7147898294460049</v>
      </c>
      <c r="I13" s="228">
        <f t="shared" ref="I13:K13" si="4">I10*I12</f>
        <v>10.017762260998644</v>
      </c>
      <c r="J13" s="228">
        <f t="shared" si="4"/>
        <v>9.6259058435303881</v>
      </c>
      <c r="K13" s="228">
        <f t="shared" si="4"/>
        <v>9.77054599795939</v>
      </c>
    </row>
    <row r="14" spans="1:13" x14ac:dyDescent="0.25">
      <c r="A14" s="227" t="s">
        <v>512</v>
      </c>
      <c r="B14" s="316">
        <f>SUM(B13:K13)</f>
        <v>89.855824328692449</v>
      </c>
      <c r="C14" s="317"/>
      <c r="D14" s="317"/>
      <c r="E14" s="317"/>
      <c r="F14" s="317"/>
      <c r="G14" s="317"/>
      <c r="H14" s="317"/>
      <c r="I14" s="317"/>
      <c r="J14" s="317"/>
      <c r="K14" s="318"/>
    </row>
    <row r="15" spans="1:13" x14ac:dyDescent="0.25">
      <c r="A15" s="227"/>
      <c r="B15" s="228"/>
      <c r="C15" s="228"/>
      <c r="D15" s="228"/>
      <c r="E15" s="228"/>
      <c r="F15" s="228"/>
      <c r="G15" s="227"/>
      <c r="H15" s="6"/>
      <c r="I15" s="6"/>
      <c r="J15" s="6"/>
      <c r="K15" s="6"/>
    </row>
    <row r="16" spans="1:13" x14ac:dyDescent="0.25">
      <c r="A16" s="227" t="s">
        <v>513</v>
      </c>
      <c r="B16" s="316">
        <f>'Project Glance'!B15</f>
        <v>89.859050841666672</v>
      </c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9" t="s">
        <v>514</v>
      </c>
      <c r="B19" s="199">
        <f>(M12*100)-100</f>
        <v>14.114000000000004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1" t="s">
        <v>646</v>
      </c>
      <c r="B22" s="72">
        <f>1/M22</f>
        <v>0.70621468926553677</v>
      </c>
      <c r="C22" s="232">
        <f t="shared" ref="C22:H22" si="5">B22/$M$22</f>
        <v>0.49873918733441863</v>
      </c>
      <c r="D22" s="232">
        <f t="shared" si="5"/>
        <v>0.35221694020792277</v>
      </c>
      <c r="E22" s="232">
        <f t="shared" si="5"/>
        <v>0.24874077698299632</v>
      </c>
      <c r="F22" s="232">
        <f t="shared" si="5"/>
        <v>0.17566439052471491</v>
      </c>
      <c r="G22" s="232">
        <f t="shared" si="5"/>
        <v>0.12405677296943145</v>
      </c>
      <c r="H22" s="232">
        <f t="shared" si="5"/>
        <v>8.761071537389227E-2</v>
      </c>
      <c r="I22" s="232">
        <f t="shared" ref="I22:K22" si="6">H22/$M$22</f>
        <v>6.1871974134104717E-2</v>
      </c>
      <c r="J22" s="232">
        <f t="shared" si="6"/>
        <v>4.3694896987362092E-2</v>
      </c>
      <c r="K22" s="232">
        <f t="shared" si="6"/>
        <v>3.0857978098419558E-2</v>
      </c>
      <c r="M22" s="1">
        <v>1.4159999999999999</v>
      </c>
    </row>
    <row r="23" spans="1:13" x14ac:dyDescent="0.25">
      <c r="A23" s="227" t="s">
        <v>511</v>
      </c>
      <c r="B23" s="228">
        <f>ROUND(B10*B22,2)</f>
        <v>6.31</v>
      </c>
      <c r="C23" s="228">
        <f t="shared" ref="C23:H23" si="7">ROUND(C10*C22,2)</f>
        <v>4.82</v>
      </c>
      <c r="D23" s="228">
        <f t="shared" si="7"/>
        <v>4.4000000000000004</v>
      </c>
      <c r="E23" s="228">
        <f t="shared" si="7"/>
        <v>3.69</v>
      </c>
      <c r="F23" s="228">
        <f t="shared" si="7"/>
        <v>3.07</v>
      </c>
      <c r="G23" s="228">
        <f t="shared" si="7"/>
        <v>2.54</v>
      </c>
      <c r="H23" s="228">
        <f t="shared" si="7"/>
        <v>2.14</v>
      </c>
      <c r="I23" s="228">
        <f t="shared" ref="I23:K23" si="8">ROUND(I10*I22,2)</f>
        <v>1.78</v>
      </c>
      <c r="J23" s="228">
        <f t="shared" si="8"/>
        <v>1.38</v>
      </c>
      <c r="K23" s="228">
        <f t="shared" si="8"/>
        <v>1.1299999999999999</v>
      </c>
    </row>
    <row r="24" spans="1:13" x14ac:dyDescent="0.25">
      <c r="A24" s="227" t="s">
        <v>512</v>
      </c>
      <c r="B24" s="316">
        <f>SUM(B23:K23)</f>
        <v>31.259999999999998</v>
      </c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3" x14ac:dyDescent="0.25">
      <c r="A25" s="227"/>
      <c r="B25" s="228"/>
      <c r="C25" s="228"/>
      <c r="D25" s="228"/>
      <c r="E25" s="228"/>
      <c r="F25" s="228"/>
      <c r="G25" s="227"/>
      <c r="H25" s="6"/>
      <c r="I25" s="6"/>
      <c r="J25" s="6"/>
      <c r="K25" s="6"/>
    </row>
    <row r="26" spans="1:13" x14ac:dyDescent="0.25">
      <c r="A26" s="227" t="s">
        <v>530</v>
      </c>
      <c r="B26" s="316">
        <f>'Project Glance'!B23-'Project Glance'!B20</f>
        <v>39.05993324166667</v>
      </c>
      <c r="C26" s="317"/>
      <c r="D26" s="317"/>
      <c r="E26" s="317"/>
      <c r="F26" s="317"/>
      <c r="G26" s="317"/>
      <c r="H26" s="317"/>
      <c r="I26" s="317"/>
      <c r="J26" s="317"/>
      <c r="K26" s="318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9" t="s">
        <v>515</v>
      </c>
      <c r="B28" s="199">
        <f>ROUND(M22*100,2)-100</f>
        <v>41.599999999999994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B19" sqref="A4:K19"/>
    </sheetView>
  </sheetViews>
  <sheetFormatPr defaultRowHeight="15" x14ac:dyDescent="0.25"/>
  <cols>
    <col min="1" max="1" width="31" style="1" customWidth="1"/>
    <col min="2" max="16384" width="9.140625" style="1"/>
  </cols>
  <sheetData>
    <row r="2" spans="1:15" x14ac:dyDescent="0.25">
      <c r="A2" s="311" t="s">
        <v>527</v>
      </c>
      <c r="B2" s="311"/>
      <c r="C2" s="311"/>
      <c r="D2" s="311"/>
      <c r="E2" s="311"/>
      <c r="F2" s="311"/>
      <c r="G2" s="311"/>
      <c r="H2" s="311"/>
      <c r="I2" s="223"/>
      <c r="J2" s="223"/>
      <c r="K2" s="223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505</v>
      </c>
      <c r="J4" s="46" t="s">
        <v>506</v>
      </c>
      <c r="K4" s="46" t="s">
        <v>507</v>
      </c>
    </row>
    <row r="5" spans="1:15" x14ac:dyDescent="0.25">
      <c r="A5" s="23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356</v>
      </c>
      <c r="B6" s="19">
        <f>'P&amp;L'!B36</f>
        <v>5.2505821767499556</v>
      </c>
      <c r="C6" s="19">
        <f>'P&amp;L'!C36</f>
        <v>5.9838678068712641</v>
      </c>
      <c r="D6" s="19">
        <f>'P&amp;L'!D36</f>
        <v>8.8070304863611266</v>
      </c>
      <c r="E6" s="19">
        <f>'P&amp;L'!E36</f>
        <v>11.155324114054206</v>
      </c>
      <c r="F6" s="19">
        <f>'P&amp;L'!F36</f>
        <v>13.790417500295709</v>
      </c>
      <c r="G6" s="19">
        <f>'P&amp;L'!G36</f>
        <v>16.793967418170929</v>
      </c>
      <c r="H6" s="19">
        <f>'P&amp;L'!H36</f>
        <v>20.792580436954793</v>
      </c>
      <c r="I6" s="19">
        <f>'P&amp;L'!I36</f>
        <v>25.118837195264724</v>
      </c>
      <c r="J6" s="19">
        <f>'P&amp;L'!J36</f>
        <v>27.898696948721401</v>
      </c>
      <c r="K6" s="19">
        <f>'P&amp;L'!K36</f>
        <v>32.8983170470947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528</v>
      </c>
      <c r="B8" s="322">
        <f>SUM(B6:K6)/10</f>
        <v>16.848962113053879</v>
      </c>
      <c r="C8" s="323"/>
      <c r="D8" s="323"/>
      <c r="E8" s="323"/>
      <c r="F8" s="323"/>
      <c r="G8" s="323"/>
      <c r="H8" s="323"/>
      <c r="I8" s="323"/>
      <c r="J8" s="323"/>
      <c r="K8" s="324"/>
    </row>
    <row r="9" spans="1:15" x14ac:dyDescent="0.25">
      <c r="A9" s="6" t="s">
        <v>529</v>
      </c>
      <c r="B9" s="322">
        <f>'Project Glance'!B23</f>
        <v>89.859050841666672</v>
      </c>
      <c r="C9" s="323"/>
      <c r="D9" s="323"/>
      <c r="E9" s="323"/>
      <c r="F9" s="323"/>
      <c r="G9" s="323"/>
      <c r="H9" s="323"/>
      <c r="I9" s="323"/>
      <c r="J9" s="323"/>
      <c r="K9" s="324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5" t="s">
        <v>531</v>
      </c>
      <c r="B11" s="325">
        <f>B8/B9*100</f>
        <v>18.750434102338858</v>
      </c>
      <c r="C11" s="326"/>
      <c r="D11" s="326"/>
      <c r="E11" s="326"/>
      <c r="F11" s="326"/>
      <c r="G11" s="326"/>
      <c r="H11" s="326"/>
      <c r="I11" s="326"/>
      <c r="J11" s="326"/>
      <c r="K11" s="327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x14ac:dyDescent="0.25">
      <c r="A13" s="6" t="s">
        <v>532</v>
      </c>
      <c r="B13" s="322">
        <f>'Project Glance'!B23-'Project Glance'!B20</f>
        <v>39.05993324166667</v>
      </c>
      <c r="C13" s="323"/>
      <c r="D13" s="323"/>
      <c r="E13" s="323"/>
      <c r="F13" s="323"/>
      <c r="G13" s="323"/>
      <c r="H13" s="323"/>
      <c r="I13" s="323"/>
      <c r="J13" s="323"/>
      <c r="K13" s="324"/>
    </row>
    <row r="14" spans="1:1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x14ac:dyDescent="0.25">
      <c r="A15" s="245" t="s">
        <v>533</v>
      </c>
      <c r="B15" s="325">
        <f>(B8/B13)*100</f>
        <v>43.136177445076818</v>
      </c>
      <c r="C15" s="326"/>
      <c r="D15" s="326"/>
      <c r="E15" s="326"/>
      <c r="F15" s="326"/>
      <c r="G15" s="326"/>
      <c r="H15" s="326"/>
      <c r="I15" s="326"/>
      <c r="J15" s="326"/>
      <c r="K15" s="327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89.859050841666672</v>
      </c>
      <c r="O16" s="13">
        <f>B13</f>
        <v>39.05993324166667</v>
      </c>
    </row>
    <row r="17" spans="1:15" s="3" customFormat="1" x14ac:dyDescent="0.25">
      <c r="A17" s="199" t="s">
        <v>534</v>
      </c>
      <c r="B17" s="319" t="s">
        <v>649</v>
      </c>
      <c r="C17" s="320"/>
      <c r="D17" s="320"/>
      <c r="E17" s="320"/>
      <c r="F17" s="320"/>
      <c r="G17" s="320"/>
      <c r="H17" s="320"/>
      <c r="I17" s="320"/>
      <c r="J17" s="320"/>
      <c r="K17" s="321"/>
      <c r="M17" s="235">
        <f>SUM(B6:H6)</f>
        <v>82.573769939457975</v>
      </c>
      <c r="O17" s="235">
        <f>SUM(B6:E6)</f>
        <v>31.196804584036553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7.2852809022086973</v>
      </c>
      <c r="O18" s="13">
        <f>O16-O17</f>
        <v>7.8631286576301171</v>
      </c>
    </row>
    <row r="19" spans="1:15" x14ac:dyDescent="0.25">
      <c r="A19" s="199" t="s">
        <v>535</v>
      </c>
      <c r="B19" s="319" t="s">
        <v>653</v>
      </c>
      <c r="C19" s="320"/>
      <c r="D19" s="320"/>
      <c r="E19" s="320"/>
      <c r="F19" s="320"/>
      <c r="G19" s="320"/>
      <c r="H19" s="320"/>
      <c r="I19" s="320"/>
      <c r="J19" s="320"/>
      <c r="K19" s="321"/>
      <c r="M19" s="1">
        <f>M18*12/I6</f>
        <v>3.4803908376373798</v>
      </c>
      <c r="O19" s="1">
        <f>O18*12/F6</f>
        <v>6.8422543327305423</v>
      </c>
    </row>
    <row r="21" spans="1:15" x14ac:dyDescent="0.25">
      <c r="M21" s="1" t="s">
        <v>632</v>
      </c>
      <c r="O21" s="1" t="s">
        <v>631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C33" sqref="C33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6" t="s">
        <v>536</v>
      </c>
      <c r="B2" s="236"/>
      <c r="C2" s="236"/>
      <c r="D2" s="236"/>
      <c r="E2" s="236"/>
      <c r="F2" s="236"/>
    </row>
    <row r="3" spans="1:7" x14ac:dyDescent="0.25">
      <c r="A3" s="237"/>
      <c r="B3" s="237"/>
      <c r="C3" s="237"/>
      <c r="D3" s="237"/>
      <c r="E3" s="237"/>
      <c r="F3" s="237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4"/>
      <c r="B5" s="238"/>
      <c r="C5" s="238"/>
      <c r="D5" s="238"/>
      <c r="E5" s="238"/>
      <c r="F5" s="238"/>
      <c r="G5" s="6"/>
    </row>
    <row r="6" spans="1:7" x14ac:dyDescent="0.25">
      <c r="A6" s="239" t="s">
        <v>537</v>
      </c>
      <c r="B6" s="227"/>
      <c r="C6" s="227"/>
      <c r="D6" s="227"/>
      <c r="E6" s="227"/>
      <c r="F6" s="227"/>
      <c r="G6" s="6"/>
    </row>
    <row r="7" spans="1:7" x14ac:dyDescent="0.25">
      <c r="A7" s="234" t="s">
        <v>330</v>
      </c>
      <c r="B7" s="228">
        <f>BS!C20</f>
        <v>0</v>
      </c>
      <c r="C7" s="228">
        <f>BS!D20</f>
        <v>0</v>
      </c>
      <c r="D7" s="228">
        <f>BS!E20</f>
        <v>0</v>
      </c>
      <c r="E7" s="228">
        <f>BS!F20</f>
        <v>0</v>
      </c>
      <c r="F7" s="228">
        <f>BS!G20</f>
        <v>0</v>
      </c>
      <c r="G7" s="228">
        <f>BS!H20</f>
        <v>0</v>
      </c>
    </row>
    <row r="8" spans="1:7" x14ac:dyDescent="0.25">
      <c r="A8" s="227"/>
      <c r="B8" s="228"/>
      <c r="C8" s="228"/>
      <c r="D8" s="228"/>
      <c r="E8" s="228"/>
      <c r="F8" s="228"/>
      <c r="G8" s="6"/>
    </row>
    <row r="9" spans="1:7" x14ac:dyDescent="0.25">
      <c r="A9" s="227" t="s">
        <v>538</v>
      </c>
      <c r="B9" s="228">
        <f>SUM(B7:B8)</f>
        <v>0</v>
      </c>
      <c r="C9" s="228">
        <f t="shared" ref="C9:F9" si="0">SUM(C7:C8)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>SUM(G7:G8)</f>
        <v>0</v>
      </c>
    </row>
    <row r="10" spans="1:7" x14ac:dyDescent="0.25">
      <c r="A10" s="227"/>
      <c r="B10" s="227"/>
      <c r="C10" s="227"/>
      <c r="D10" s="227"/>
      <c r="E10" s="227"/>
      <c r="F10" s="227"/>
      <c r="G10" s="6"/>
    </row>
    <row r="11" spans="1:7" x14ac:dyDescent="0.25">
      <c r="A11" s="239" t="s">
        <v>539</v>
      </c>
      <c r="B11" s="227"/>
      <c r="C11" s="227"/>
      <c r="D11" s="227"/>
      <c r="E11" s="227"/>
      <c r="F11" s="227"/>
      <c r="G11" s="6"/>
    </row>
    <row r="12" spans="1:7" x14ac:dyDescent="0.25">
      <c r="A12" s="227" t="s">
        <v>540</v>
      </c>
      <c r="B12" s="227"/>
      <c r="C12" s="227"/>
      <c r="D12" s="227"/>
      <c r="E12" s="227"/>
      <c r="F12" s="227"/>
      <c r="G12" s="6"/>
    </row>
    <row r="13" spans="1:7" x14ac:dyDescent="0.25">
      <c r="A13" s="234" t="s">
        <v>541</v>
      </c>
      <c r="B13" s="228">
        <f>BS!C9</f>
        <v>39.05993324166667</v>
      </c>
      <c r="C13" s="228">
        <f>BS!D9</f>
        <v>39.05993324166667</v>
      </c>
      <c r="D13" s="228">
        <f>BS!E9</f>
        <v>39.05993324166667</v>
      </c>
      <c r="E13" s="228">
        <f>BS!F9</f>
        <v>39.05993324166667</v>
      </c>
      <c r="F13" s="228">
        <f>BS!G9</f>
        <v>39.05993324166667</v>
      </c>
      <c r="G13" s="228">
        <f>BS!H9</f>
        <v>39.05993324166667</v>
      </c>
    </row>
    <row r="14" spans="1:7" x14ac:dyDescent="0.25">
      <c r="A14" s="234" t="s">
        <v>542</v>
      </c>
      <c r="B14" s="228">
        <f>BS!C13+BS!C19</f>
        <v>56.049699776749961</v>
      </c>
      <c r="C14" s="228">
        <f>BS!D13+BS!D19</f>
        <v>62.03356758362122</v>
      </c>
      <c r="D14" s="228">
        <f>BS!E13+BS!E19</f>
        <v>70.840598069982349</v>
      </c>
      <c r="E14" s="228">
        <f>BS!F13+BS!F19</f>
        <v>81.995922184036559</v>
      </c>
      <c r="F14" s="228">
        <f>BS!G13+BS!G19</f>
        <v>95.786339684332262</v>
      </c>
      <c r="G14" s="228">
        <f>BS!H13+BS!H19</f>
        <v>112.58030710250318</v>
      </c>
    </row>
    <row r="15" spans="1:7" x14ac:dyDescent="0.25">
      <c r="A15" s="227"/>
      <c r="B15" s="228"/>
      <c r="C15" s="228"/>
      <c r="D15" s="228"/>
      <c r="E15" s="228"/>
      <c r="F15" s="228"/>
      <c r="G15" s="6"/>
    </row>
    <row r="16" spans="1:7" x14ac:dyDescent="0.25">
      <c r="A16" s="227" t="s">
        <v>538</v>
      </c>
      <c r="B16" s="228">
        <f>SUM(B13:B15)</f>
        <v>95.109633018416631</v>
      </c>
      <c r="C16" s="228">
        <f t="shared" ref="C16:G16" si="1">SUM(C13:C15)</f>
        <v>101.09350082528789</v>
      </c>
      <c r="D16" s="228">
        <f t="shared" si="1"/>
        <v>109.90053131164902</v>
      </c>
      <c r="E16" s="228">
        <f t="shared" si="1"/>
        <v>121.05585542570323</v>
      </c>
      <c r="F16" s="228">
        <f t="shared" si="1"/>
        <v>134.84627292599893</v>
      </c>
      <c r="G16" s="228">
        <f t="shared" si="1"/>
        <v>151.64024034416985</v>
      </c>
    </row>
    <row r="17" spans="1:7" x14ac:dyDescent="0.25">
      <c r="A17" s="227"/>
      <c r="B17" s="227"/>
      <c r="C17" s="227"/>
      <c r="D17" s="227"/>
      <c r="E17" s="227"/>
      <c r="F17" s="227"/>
      <c r="G17" s="6"/>
    </row>
    <row r="18" spans="1:7" x14ac:dyDescent="0.25">
      <c r="A18" s="240" t="s">
        <v>543</v>
      </c>
      <c r="B18" s="230">
        <f>B9/B16</f>
        <v>0</v>
      </c>
      <c r="C18" s="230">
        <f t="shared" ref="C18:G18" si="2">C9/C16</f>
        <v>0</v>
      </c>
      <c r="D18" s="230">
        <f t="shared" si="2"/>
        <v>0</v>
      </c>
      <c r="E18" s="230">
        <f t="shared" si="2"/>
        <v>0</v>
      </c>
      <c r="F18" s="230">
        <f t="shared" si="2"/>
        <v>0</v>
      </c>
      <c r="G18" s="230">
        <f t="shared" si="2"/>
        <v>0</v>
      </c>
    </row>
    <row r="19" spans="1:7" s="3" customFormat="1" x14ac:dyDescent="0.25">
      <c r="A19" s="244" t="s">
        <v>556</v>
      </c>
      <c r="B19" s="328">
        <f>SUM(B18:F18)/6</f>
        <v>0</v>
      </c>
      <c r="C19" s="329"/>
      <c r="D19" s="329"/>
      <c r="E19" s="329"/>
      <c r="F19" s="329"/>
      <c r="G19" s="330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40"/>
      <c r="B21" s="45"/>
      <c r="C21" s="6"/>
      <c r="D21" s="6"/>
      <c r="E21" s="6"/>
      <c r="F21" s="6"/>
      <c r="G21" s="6"/>
    </row>
    <row r="22" spans="1:7" x14ac:dyDescent="0.25">
      <c r="A22" s="239" t="s">
        <v>537</v>
      </c>
      <c r="B22" s="227"/>
      <c r="C22" s="227"/>
      <c r="D22" s="227"/>
      <c r="E22" s="227"/>
      <c r="F22" s="227"/>
      <c r="G22" s="6"/>
    </row>
    <row r="23" spans="1:7" x14ac:dyDescent="0.25">
      <c r="A23" s="234" t="s">
        <v>330</v>
      </c>
      <c r="B23" s="228">
        <f>B7</f>
        <v>0</v>
      </c>
      <c r="C23" s="228">
        <f t="shared" ref="C23:G23" si="3">C7</f>
        <v>0</v>
      </c>
      <c r="D23" s="228">
        <f t="shared" si="3"/>
        <v>0</v>
      </c>
      <c r="E23" s="228">
        <f t="shared" si="3"/>
        <v>0</v>
      </c>
      <c r="F23" s="228">
        <f t="shared" si="3"/>
        <v>0</v>
      </c>
      <c r="G23" s="228">
        <f t="shared" si="3"/>
        <v>0</v>
      </c>
    </row>
    <row r="24" spans="1:7" x14ac:dyDescent="0.25">
      <c r="A24" s="227"/>
      <c r="B24" s="228"/>
      <c r="C24" s="228"/>
      <c r="D24" s="228"/>
      <c r="E24" s="228"/>
      <c r="F24" s="228"/>
      <c r="G24" s="6"/>
    </row>
    <row r="25" spans="1:7" x14ac:dyDescent="0.25">
      <c r="A25" s="227" t="s">
        <v>538</v>
      </c>
      <c r="B25" s="228">
        <f>SUM(B23:B24)</f>
        <v>0</v>
      </c>
      <c r="C25" s="228">
        <f t="shared" ref="C25:G25" si="4">SUM(C23:C24)</f>
        <v>0</v>
      </c>
      <c r="D25" s="228">
        <f t="shared" si="4"/>
        <v>0</v>
      </c>
      <c r="E25" s="228">
        <f t="shared" si="4"/>
        <v>0</v>
      </c>
      <c r="F25" s="228">
        <f t="shared" si="4"/>
        <v>0</v>
      </c>
      <c r="G25" s="228">
        <f t="shared" si="4"/>
        <v>0</v>
      </c>
    </row>
    <row r="26" spans="1:7" x14ac:dyDescent="0.25">
      <c r="A26" s="227"/>
      <c r="B26" s="227"/>
      <c r="C26" s="227"/>
      <c r="D26" s="227"/>
      <c r="E26" s="227"/>
      <c r="F26" s="227"/>
      <c r="G26" s="6"/>
    </row>
    <row r="27" spans="1:7" x14ac:dyDescent="0.25">
      <c r="A27" s="239" t="s">
        <v>539</v>
      </c>
      <c r="B27" s="227"/>
      <c r="C27" s="227"/>
      <c r="D27" s="227"/>
      <c r="E27" s="227"/>
      <c r="F27" s="227"/>
      <c r="G27" s="6"/>
    </row>
    <row r="28" spans="1:7" x14ac:dyDescent="0.25">
      <c r="A28" s="227" t="s">
        <v>540</v>
      </c>
      <c r="B28" s="227"/>
      <c r="C28" s="227"/>
      <c r="D28" s="227"/>
      <c r="E28" s="227"/>
      <c r="F28" s="227"/>
      <c r="G28" s="6"/>
    </row>
    <row r="29" spans="1:7" x14ac:dyDescent="0.25">
      <c r="A29" s="234" t="s">
        <v>541</v>
      </c>
      <c r="B29" s="228">
        <f>B13</f>
        <v>39.05993324166667</v>
      </c>
      <c r="C29" s="228">
        <f t="shared" ref="C29:G29" si="5">C13</f>
        <v>39.05993324166667</v>
      </c>
      <c r="D29" s="228">
        <f t="shared" si="5"/>
        <v>39.05993324166667</v>
      </c>
      <c r="E29" s="228">
        <f t="shared" si="5"/>
        <v>39.05993324166667</v>
      </c>
      <c r="F29" s="228">
        <f t="shared" si="5"/>
        <v>39.05993324166667</v>
      </c>
      <c r="G29" s="228">
        <f t="shared" si="5"/>
        <v>39.05993324166667</v>
      </c>
    </row>
    <row r="30" spans="1:7" x14ac:dyDescent="0.25">
      <c r="A30" s="234" t="s">
        <v>544</v>
      </c>
      <c r="B30" s="228">
        <f>BS!C19</f>
        <v>5.2505821767499556</v>
      </c>
      <c r="C30" s="228">
        <f>BS!D19</f>
        <v>11.23444998362122</v>
      </c>
      <c r="D30" s="228">
        <f>BS!E19</f>
        <v>20.041480469982346</v>
      </c>
      <c r="E30" s="228">
        <f>BS!F19</f>
        <v>31.196804584036553</v>
      </c>
      <c r="F30" s="228">
        <f>BS!G19</f>
        <v>44.987222084332259</v>
      </c>
      <c r="G30" s="228">
        <f>BS!H19</f>
        <v>61.781189502503189</v>
      </c>
    </row>
    <row r="31" spans="1:7" x14ac:dyDescent="0.25">
      <c r="A31" s="227"/>
      <c r="B31" s="228"/>
      <c r="C31" s="228"/>
      <c r="D31" s="228"/>
      <c r="E31" s="228"/>
      <c r="F31" s="228"/>
      <c r="G31" s="6"/>
    </row>
    <row r="32" spans="1:7" x14ac:dyDescent="0.25">
      <c r="A32" s="227" t="s">
        <v>538</v>
      </c>
      <c r="B32" s="228">
        <f>SUM(B29:B31)</f>
        <v>44.310515418416628</v>
      </c>
      <c r="C32" s="228">
        <f t="shared" ref="C32:G32" si="6">SUM(C29:C31)</f>
        <v>50.294383225287888</v>
      </c>
      <c r="D32" s="228">
        <f t="shared" si="6"/>
        <v>59.101413711649016</v>
      </c>
      <c r="E32" s="228">
        <f t="shared" si="6"/>
        <v>70.256737825703226</v>
      </c>
      <c r="F32" s="228">
        <f t="shared" si="6"/>
        <v>84.047155325998929</v>
      </c>
      <c r="G32" s="228">
        <f t="shared" si="6"/>
        <v>100.84112274416987</v>
      </c>
    </row>
    <row r="33" spans="1:7" x14ac:dyDescent="0.25">
      <c r="A33" s="227"/>
      <c r="B33" s="227"/>
      <c r="C33" s="227"/>
      <c r="D33" s="227"/>
      <c r="E33" s="227"/>
      <c r="F33" s="227"/>
      <c r="G33" s="6"/>
    </row>
    <row r="34" spans="1:7" x14ac:dyDescent="0.25">
      <c r="A34" s="240" t="s">
        <v>545</v>
      </c>
      <c r="B34" s="230">
        <f>B25/B32</f>
        <v>0</v>
      </c>
      <c r="C34" s="230">
        <f t="shared" ref="C34:G34" si="7">C25/C32</f>
        <v>0</v>
      </c>
      <c r="D34" s="230">
        <f t="shared" si="7"/>
        <v>0</v>
      </c>
      <c r="E34" s="230">
        <f t="shared" si="7"/>
        <v>0</v>
      </c>
      <c r="F34" s="230">
        <f t="shared" si="7"/>
        <v>0</v>
      </c>
      <c r="G34" s="230">
        <f t="shared" si="7"/>
        <v>0</v>
      </c>
    </row>
    <row r="35" spans="1:7" x14ac:dyDescent="0.25">
      <c r="A35" s="244" t="s">
        <v>557</v>
      </c>
      <c r="B35" s="328">
        <f>SUM(B34:G34)/6</f>
        <v>0</v>
      </c>
      <c r="C35" s="329"/>
      <c r="D35" s="329"/>
      <c r="E35" s="329"/>
      <c r="F35" s="329"/>
      <c r="G35" s="330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11" t="s">
        <v>555</v>
      </c>
      <c r="B1" s="311"/>
      <c r="C1" s="311"/>
      <c r="D1" s="311"/>
      <c r="E1" s="311"/>
      <c r="F1" s="311"/>
      <c r="G1" s="311"/>
      <c r="H1" s="311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546</v>
      </c>
      <c r="B4" s="19">
        <f>'P&amp;L'!B36</f>
        <v>5.2505821767499556</v>
      </c>
      <c r="C4" s="19">
        <f>'P&amp;L'!C36</f>
        <v>5.9838678068712641</v>
      </c>
      <c r="D4" s="19">
        <f>'P&amp;L'!D36</f>
        <v>8.8070304863611266</v>
      </c>
      <c r="E4" s="19">
        <f>'P&amp;L'!E36</f>
        <v>11.155324114054206</v>
      </c>
      <c r="F4" s="19">
        <f>'P&amp;L'!F36</f>
        <v>13.790417500295709</v>
      </c>
      <c r="G4" s="19">
        <f>'P&amp;L'!G36</f>
        <v>16.793967418170929</v>
      </c>
      <c r="H4" s="19">
        <f>'P&amp;L'!H36</f>
        <v>20.792580436954793</v>
      </c>
      <c r="I4" s="13"/>
    </row>
    <row r="5" spans="1:9" ht="30" x14ac:dyDescent="0.25">
      <c r="A5" s="10" t="s">
        <v>547</v>
      </c>
      <c r="B5" s="19">
        <f>'P&amp;L'!B32</f>
        <v>3.2839418159999996</v>
      </c>
      <c r="C5" s="19">
        <f>'P&amp;L'!C32</f>
        <v>3.2839418159999996</v>
      </c>
      <c r="D5" s="19">
        <f>'P&amp;L'!D32</f>
        <v>3.2839418159999996</v>
      </c>
      <c r="E5" s="19">
        <f>'P&amp;L'!E32</f>
        <v>3.2839418159999996</v>
      </c>
      <c r="F5" s="19">
        <f>'P&amp;L'!F32</f>
        <v>3.2839418159999996</v>
      </c>
      <c r="G5" s="19">
        <f>'P&amp;L'!G32</f>
        <v>3.2839418159999996</v>
      </c>
      <c r="H5" s="19">
        <f>'P&amp;L'!H32</f>
        <v>3.2839418159999996</v>
      </c>
    </row>
    <row r="6" spans="1:9" ht="30" x14ac:dyDescent="0.25">
      <c r="A6" s="10" t="s">
        <v>548</v>
      </c>
      <c r="B6" s="19">
        <f>'P&amp;L'!B27</f>
        <v>0.40316760000000001</v>
      </c>
      <c r="C6" s="19">
        <f>'P&amp;L'!C27</f>
        <v>0.40316760000000001</v>
      </c>
      <c r="D6" s="19">
        <f>'P&amp;L'!D27</f>
        <v>0.40316760000000001</v>
      </c>
      <c r="E6" s="19">
        <f>'P&amp;L'!E27</f>
        <v>0.40316760000000001</v>
      </c>
      <c r="F6" s="19">
        <f>'P&amp;L'!F27</f>
        <v>0.40316760000000001</v>
      </c>
      <c r="G6" s="19">
        <f>'P&amp;L'!G27</f>
        <v>0.40316760000000001</v>
      </c>
      <c r="H6" s="19">
        <f>'P&amp;L'!H27</f>
        <v>0.40316760000000001</v>
      </c>
    </row>
    <row r="7" spans="1:9" ht="30" x14ac:dyDescent="0.25">
      <c r="A7" s="10" t="s">
        <v>549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550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551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366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552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553</v>
      </c>
      <c r="B16" s="331" t="e">
        <f>SUM(B12:G12)/6</f>
        <v>#DIV/0!</v>
      </c>
      <c r="C16" s="331"/>
      <c r="D16" s="331"/>
      <c r="E16" s="331"/>
      <c r="F16" s="331"/>
      <c r="G16" s="331"/>
      <c r="H16" s="331"/>
    </row>
    <row r="17" spans="1:8" hidden="1" x14ac:dyDescent="0.25">
      <c r="A17" s="8" t="s">
        <v>554</v>
      </c>
      <c r="B17" s="331" t="e">
        <f>SUM(B14:G14)/6</f>
        <v>#DIV/0!</v>
      </c>
      <c r="C17" s="331"/>
      <c r="D17" s="331"/>
      <c r="E17" s="331"/>
      <c r="F17" s="331"/>
      <c r="G17" s="331"/>
      <c r="H17" s="331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5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6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6"/>
      <c r="G4" s="1" t="s">
        <v>374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6"/>
      <c r="G5" s="1" t="s">
        <v>375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6"/>
      <c r="G6" s="1" t="s">
        <v>374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6"/>
      <c r="G7" s="1" t="s">
        <v>374</v>
      </c>
    </row>
    <row r="8" spans="1:7" x14ac:dyDescent="0.25">
      <c r="A8" s="6"/>
      <c r="B8" s="6" t="s">
        <v>12</v>
      </c>
      <c r="C8" s="6" t="s">
        <v>74</v>
      </c>
      <c r="D8" s="9">
        <f>25*2</f>
        <v>50</v>
      </c>
      <c r="E8" s="9"/>
      <c r="F8" s="126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6"/>
      <c r="G9" s="5" t="s">
        <v>403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6"/>
      <c r="G10" s="1" t="s">
        <v>374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6"/>
      <c r="G11" s="1" t="s">
        <v>374</v>
      </c>
    </row>
    <row r="12" spans="1:7" x14ac:dyDescent="0.25">
      <c r="A12" s="6"/>
      <c r="B12" s="6"/>
      <c r="C12" s="6"/>
      <c r="D12" s="6"/>
      <c r="E12" s="9"/>
      <c r="F12" s="126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6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6"/>
    </row>
    <row r="15" spans="1:7" x14ac:dyDescent="0.25">
      <c r="A15" s="7">
        <v>7</v>
      </c>
      <c r="B15" s="8" t="s">
        <v>23</v>
      </c>
      <c r="C15" s="6" t="s">
        <v>373</v>
      </c>
      <c r="D15" s="6"/>
      <c r="E15" s="9">
        <f>'WC Assessment'!C13</f>
        <v>5.193854841666667</v>
      </c>
      <c r="F15" s="126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288" t="s">
        <v>24</v>
      </c>
      <c r="C17" s="288"/>
      <c r="D17" s="6"/>
      <c r="E17" s="11">
        <f>SUM(E4:E15)</f>
        <v>166.19385484166668</v>
      </c>
      <c r="F17" s="127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A28" sqref="A28:K44"/>
    </sheetView>
  </sheetViews>
  <sheetFormatPr defaultRowHeight="15" x14ac:dyDescent="0.25"/>
  <cols>
    <col min="1" max="1" width="32" style="104" bestFit="1" customWidth="1"/>
    <col min="2" max="6" width="14.7109375" style="104" bestFit="1" customWidth="1"/>
    <col min="7" max="7" width="13.42578125" style="104" bestFit="1" customWidth="1"/>
    <col min="8" max="8" width="14.7109375" style="104" bestFit="1" customWidth="1"/>
    <col min="9" max="11" width="7.7109375" style="104" bestFit="1" customWidth="1"/>
    <col min="12" max="14" width="9.140625" style="104"/>
    <col min="15" max="15" width="23.42578125" style="104" bestFit="1" customWidth="1"/>
    <col min="16" max="16384" width="9.140625" style="104"/>
  </cols>
  <sheetData>
    <row r="1" spans="1:15" hidden="1" x14ac:dyDescent="0.25">
      <c r="A1" s="133" t="s">
        <v>355</v>
      </c>
      <c r="B1" s="100"/>
      <c r="C1" s="100"/>
      <c r="D1" s="100"/>
      <c r="E1" s="100"/>
      <c r="F1" s="100"/>
      <c r="G1" s="100"/>
      <c r="H1" s="100"/>
    </row>
    <row r="2" spans="1:15" hidden="1" x14ac:dyDescent="0.25">
      <c r="A2" s="100" t="s">
        <v>1</v>
      </c>
      <c r="B2" s="177" t="s">
        <v>36</v>
      </c>
      <c r="C2" s="177" t="s">
        <v>37</v>
      </c>
      <c r="D2" s="177" t="s">
        <v>38</v>
      </c>
      <c r="E2" s="177" t="s">
        <v>39</v>
      </c>
      <c r="F2" s="177" t="s">
        <v>40</v>
      </c>
      <c r="G2" s="177" t="s">
        <v>41</v>
      </c>
      <c r="H2" s="177" t="s">
        <v>42</v>
      </c>
    </row>
    <row r="3" spans="1:15" hidden="1" x14ac:dyDescent="0.25">
      <c r="A3" s="36" t="s">
        <v>356</v>
      </c>
      <c r="B3" s="72">
        <f>'P&amp;L'!B36</f>
        <v>5.2505821767499556</v>
      </c>
      <c r="C3" s="72">
        <f>'P&amp;L'!C36</f>
        <v>5.9838678068712641</v>
      </c>
      <c r="D3" s="72">
        <f>'P&amp;L'!D36</f>
        <v>8.8070304863611266</v>
      </c>
      <c r="E3" s="72">
        <f>'P&amp;L'!E36</f>
        <v>11.155324114054206</v>
      </c>
      <c r="F3" s="72">
        <f>'P&amp;L'!F36</f>
        <v>13.790417500295709</v>
      </c>
      <c r="G3" s="72">
        <f>'P&amp;L'!G36</f>
        <v>16.793967418170929</v>
      </c>
      <c r="H3" s="72">
        <f>'P&amp;L'!H36</f>
        <v>20.792580436954793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357</v>
      </c>
      <c r="B5" s="72">
        <f>'P&amp;L'!B32</f>
        <v>3.2839418159999996</v>
      </c>
      <c r="C5" s="72">
        <f>'P&amp;L'!C32</f>
        <v>3.2839418159999996</v>
      </c>
      <c r="D5" s="72">
        <f>'P&amp;L'!D32</f>
        <v>3.2839418159999996</v>
      </c>
      <c r="E5" s="72">
        <f>'P&amp;L'!E32</f>
        <v>3.2839418159999996</v>
      </c>
      <c r="F5" s="72">
        <f>'P&amp;L'!F32</f>
        <v>3.2839418159999996</v>
      </c>
      <c r="G5" s="72">
        <f>'P&amp;L'!G32</f>
        <v>3.2839418159999996</v>
      </c>
      <c r="H5" s="72">
        <f>'P&amp;L'!H32</f>
        <v>3.2839418159999996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4"/>
      <c r="M6" s="224"/>
      <c r="O6" s="120"/>
    </row>
    <row r="7" spans="1:15" hidden="1" x14ac:dyDescent="0.25">
      <c r="A7" s="36" t="s">
        <v>358</v>
      </c>
      <c r="B7" s="72">
        <f>'P&amp;L'!B27</f>
        <v>0.40316760000000001</v>
      </c>
      <c r="C7" s="72">
        <f>'P&amp;L'!C27</f>
        <v>0.40316760000000001</v>
      </c>
      <c r="D7" s="72">
        <f>'P&amp;L'!D27</f>
        <v>0.40316760000000001</v>
      </c>
      <c r="E7" s="72">
        <f>'P&amp;L'!E27</f>
        <v>0.40316760000000001</v>
      </c>
      <c r="F7" s="72">
        <f>'P&amp;L'!F27</f>
        <v>0.40316760000000001</v>
      </c>
      <c r="G7" s="72">
        <f>'P&amp;L'!G27</f>
        <v>0.40316760000000001</v>
      </c>
      <c r="H7" s="72">
        <f>'P&amp;L'!H27</f>
        <v>0.40316760000000001</v>
      </c>
      <c r="I7" s="1"/>
      <c r="J7" s="1"/>
      <c r="K7" s="1"/>
      <c r="L7" s="120"/>
      <c r="M7" s="224"/>
      <c r="O7" s="120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4"/>
      <c r="M8" s="224"/>
      <c r="O8" s="120"/>
    </row>
    <row r="9" spans="1:15" hidden="1" x14ac:dyDescent="0.25">
      <c r="A9" s="77" t="s">
        <v>444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359</v>
      </c>
      <c r="B11" s="72">
        <f>B3+B5+B7</f>
        <v>8.9376915927499549</v>
      </c>
      <c r="C11" s="72">
        <f t="shared" ref="C11:G11" si="0">C3+C5+C7</f>
        <v>9.6709772228712634</v>
      </c>
      <c r="D11" s="72">
        <f t="shared" si="0"/>
        <v>12.494139902361127</v>
      </c>
      <c r="E11" s="72">
        <f t="shared" si="0"/>
        <v>14.842433530054205</v>
      </c>
      <c r="F11" s="72">
        <f t="shared" si="0"/>
        <v>17.477526916295709</v>
      </c>
      <c r="G11" s="72">
        <f t="shared" si="0"/>
        <v>20.481076834170928</v>
      </c>
      <c r="H11" s="72">
        <f>H3+H5+H7+H9</f>
        <v>24.479689852954792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360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7" t="s">
        <v>445</v>
      </c>
      <c r="B15" s="44">
        <f t="shared" ref="B15:H15" si="2">B11*B13</f>
        <v>8.1251741752272313</v>
      </c>
      <c r="C15" s="44">
        <f t="shared" si="2"/>
        <v>7.9925431593977372</v>
      </c>
      <c r="D15" s="44">
        <f t="shared" si="2"/>
        <v>9.3870322331789069</v>
      </c>
      <c r="E15" s="44">
        <f t="shared" si="2"/>
        <v>10.137581811388703</v>
      </c>
      <c r="F15" s="44">
        <f t="shared" si="2"/>
        <v>10.852169136668323</v>
      </c>
      <c r="G15" s="44">
        <f t="shared" si="2"/>
        <v>11.561033932317835</v>
      </c>
      <c r="H15" s="44">
        <f t="shared" si="2"/>
        <v>12.5619515798136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446</v>
      </c>
      <c r="B17" s="9">
        <f>SUM(B15:H15)</f>
        <v>70.617486027992342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4" t="s">
        <v>447</v>
      </c>
      <c r="B20" s="116">
        <f>'Project Glance'!B15</f>
        <v>89.859050841666672</v>
      </c>
      <c r="D20" s="116"/>
      <c r="E20" s="121"/>
      <c r="F20" s="121"/>
      <c r="G20" s="121"/>
      <c r="H20" s="121"/>
      <c r="I20" s="121"/>
      <c r="J20" s="121"/>
    </row>
    <row r="21" spans="1:11" hidden="1" x14ac:dyDescent="0.25">
      <c r="E21" s="38"/>
      <c r="F21" s="121"/>
      <c r="G21" s="121"/>
      <c r="H21" s="121"/>
      <c r="I21" s="121"/>
      <c r="J21" s="121"/>
    </row>
    <row r="22" spans="1:11" s="119" customFormat="1" hidden="1" x14ac:dyDescent="0.25">
      <c r="A22" s="178" t="s">
        <v>448</v>
      </c>
      <c r="B22" s="179">
        <f>B17-B20</f>
        <v>-19.24156481367433</v>
      </c>
    </row>
    <row r="23" spans="1:11" hidden="1" x14ac:dyDescent="0.25"/>
    <row r="24" spans="1:11" hidden="1" x14ac:dyDescent="0.25">
      <c r="A24" s="138" t="s">
        <v>361</v>
      </c>
      <c r="B24" s="140" t="e">
        <f>IRR(B11:H11)</f>
        <v>#NUM!</v>
      </c>
    </row>
    <row r="25" spans="1:11" hidden="1" x14ac:dyDescent="0.25">
      <c r="A25" s="119"/>
      <c r="B25" s="119"/>
    </row>
    <row r="26" spans="1:11" hidden="1" x14ac:dyDescent="0.25">
      <c r="A26" s="138" t="s">
        <v>454</v>
      </c>
      <c r="B26" s="139">
        <f>AVERAGE('P&amp;L'!B36:H36)/'Project Glance'!B23</f>
        <v>0.13127506620651061</v>
      </c>
      <c r="D26" s="120"/>
    </row>
    <row r="28" spans="1:11" x14ac:dyDescent="0.25">
      <c r="A28" s="122" t="s">
        <v>1</v>
      </c>
      <c r="B28" s="122" t="s">
        <v>36</v>
      </c>
      <c r="C28" s="122" t="s">
        <v>37</v>
      </c>
      <c r="D28" s="122" t="s">
        <v>38</v>
      </c>
      <c r="E28" s="122" t="s">
        <v>39</v>
      </c>
      <c r="F28" s="122" t="s">
        <v>40</v>
      </c>
      <c r="G28" s="122" t="s">
        <v>41</v>
      </c>
      <c r="H28" s="122" t="s">
        <v>42</v>
      </c>
      <c r="I28" s="122" t="s">
        <v>505</v>
      </c>
      <c r="J28" s="122" t="s">
        <v>506</v>
      </c>
      <c r="K28" s="122" t="s">
        <v>507</v>
      </c>
    </row>
    <row r="29" spans="1:11" x14ac:dyDescent="0.25">
      <c r="A29" s="36" t="s">
        <v>356</v>
      </c>
      <c r="B29" s="72">
        <f>+'P&amp;L'!B36</f>
        <v>5.2505821767499556</v>
      </c>
      <c r="C29" s="72">
        <f>+'P&amp;L'!C36</f>
        <v>5.9838678068712641</v>
      </c>
      <c r="D29" s="72">
        <f>+'P&amp;L'!D36</f>
        <v>8.8070304863611266</v>
      </c>
      <c r="E29" s="72">
        <f>+'P&amp;L'!E36</f>
        <v>11.155324114054206</v>
      </c>
      <c r="F29" s="72">
        <f>+'P&amp;L'!F36</f>
        <v>13.790417500295709</v>
      </c>
      <c r="G29" s="72">
        <f>+'P&amp;L'!G36</f>
        <v>16.793967418170929</v>
      </c>
      <c r="H29" s="72">
        <f>+'P&amp;L'!H36</f>
        <v>20.792580436954793</v>
      </c>
      <c r="I29" s="72">
        <f>+'P&amp;L'!I36</f>
        <v>25.118837195264724</v>
      </c>
      <c r="J29" s="72">
        <f>+'P&amp;L'!J36</f>
        <v>27.898696948721401</v>
      </c>
      <c r="K29" s="72">
        <f>+'P&amp;L'!K36</f>
        <v>32.8983170470947</v>
      </c>
    </row>
    <row r="30" spans="1:11" x14ac:dyDescent="0.25">
      <c r="A30" s="36" t="s">
        <v>363</v>
      </c>
      <c r="B30" s="72">
        <f>SUM(B36:B40)</f>
        <v>13.25061782325</v>
      </c>
      <c r="C30" s="72">
        <f t="shared" ref="C30:K30" si="3">SUM(C36:C40)</f>
        <v>14.089160837362499</v>
      </c>
      <c r="D30" s="72">
        <f t="shared" si="3"/>
        <v>14.823877954055625</v>
      </c>
      <c r="E30" s="72">
        <f t="shared" si="3"/>
        <v>15.611404774708408</v>
      </c>
      <c r="F30" s="72">
        <f t="shared" si="3"/>
        <v>16.478064139831329</v>
      </c>
      <c r="G30" s="72">
        <f t="shared" si="3"/>
        <v>17.372733315085394</v>
      </c>
      <c r="H30" s="72">
        <f t="shared" si="3"/>
        <v>18.364651410352163</v>
      </c>
      <c r="I30" s="72">
        <f t="shared" si="3"/>
        <v>19.387186325694774</v>
      </c>
      <c r="J30" s="72">
        <f t="shared" si="3"/>
        <v>20.217384062117013</v>
      </c>
      <c r="K30" s="72">
        <f t="shared" si="3"/>
        <v>21.337223147860364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362</v>
      </c>
      <c r="B33" s="72">
        <f>SUM(B29:B32)</f>
        <v>18.501199999999955</v>
      </c>
      <c r="C33" s="72">
        <f t="shared" ref="C33:K33" si="4">SUM(C29:C32)</f>
        <v>20.073028644233762</v>
      </c>
      <c r="D33" s="72">
        <f t="shared" si="4"/>
        <v>23.630908440416754</v>
      </c>
      <c r="E33" s="72">
        <f t="shared" si="4"/>
        <v>26.766728888762614</v>
      </c>
      <c r="F33" s="72">
        <f t="shared" si="4"/>
        <v>30.268481640127035</v>
      </c>
      <c r="G33" s="72">
        <f t="shared" si="4"/>
        <v>34.16670073325632</v>
      </c>
      <c r="H33" s="72">
        <f t="shared" si="4"/>
        <v>39.15723184730696</v>
      </c>
      <c r="I33" s="72">
        <f t="shared" si="4"/>
        <v>44.506023520959502</v>
      </c>
      <c r="J33" s="72">
        <f t="shared" si="4"/>
        <v>48.116081010838414</v>
      </c>
      <c r="K33" s="72">
        <f t="shared" si="4"/>
        <v>54.235540194955064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363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449</v>
      </c>
      <c r="B36" s="73">
        <f>'P&amp;L'!B23</f>
        <v>8.1611676000000006</v>
      </c>
      <c r="C36" s="73">
        <f>'P&amp;L'!C23</f>
        <v>8.5692259800000006</v>
      </c>
      <c r="D36" s="73">
        <f>'P&amp;L'!D23</f>
        <v>8.9976872790000009</v>
      </c>
      <c r="E36" s="73">
        <f>'P&amp;L'!E23</f>
        <v>9.4475716429500025</v>
      </c>
      <c r="F36" s="73">
        <f>'P&amp;L'!F23</f>
        <v>9.9199502250975016</v>
      </c>
      <c r="G36" s="73">
        <f>'P&amp;L'!G23</f>
        <v>10.415947736352379</v>
      </c>
      <c r="H36" s="73">
        <f>'P&amp;L'!H23</f>
        <v>10.936745123169995</v>
      </c>
      <c r="I36" s="73">
        <f>'P&amp;L'!I23</f>
        <v>11.483582379328496</v>
      </c>
      <c r="J36" s="73">
        <f>'P&amp;L'!J23</f>
        <v>12.057761498294921</v>
      </c>
      <c r="K36" s="73">
        <f>'P&amp;L'!K23</f>
        <v>12.660649573209669</v>
      </c>
    </row>
    <row r="37" spans="1:11" x14ac:dyDescent="0.25">
      <c r="A37" s="36" t="s">
        <v>450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451</v>
      </c>
      <c r="B38" s="73">
        <f>'P&amp;L'!B31</f>
        <v>1.4023408072500001</v>
      </c>
      <c r="C38" s="73">
        <f>'P&amp;L'!C31</f>
        <v>1.8328254413624989</v>
      </c>
      <c r="D38" s="73">
        <f>'P&amp;L'!D31</f>
        <v>2.1390812590556254</v>
      </c>
      <c r="E38" s="73">
        <f>'P&amp;L'!E31</f>
        <v>2.4767237157584061</v>
      </c>
      <c r="F38" s="73">
        <f>'P&amp;L'!F31</f>
        <v>2.8710044987338272</v>
      </c>
      <c r="G38" s="73">
        <f>'P&amp;L'!G31</f>
        <v>3.2696761627330169</v>
      </c>
      <c r="H38" s="73">
        <f>'P&amp;L'!H31</f>
        <v>3.7407968711821695</v>
      </c>
      <c r="I38" s="73">
        <f>'P&amp;L'!I31</f>
        <v>4.216494530366278</v>
      </c>
      <c r="J38" s="73">
        <f>'P&amp;L'!J31</f>
        <v>4.4725131478220934</v>
      </c>
      <c r="K38" s="73">
        <f>'P&amp;L'!K31</f>
        <v>4.9894641586506969</v>
      </c>
    </row>
    <row r="39" spans="1:11" x14ac:dyDescent="0.25">
      <c r="A39" s="36" t="s">
        <v>368</v>
      </c>
      <c r="B39" s="73">
        <f>'P&amp;L'!B32</f>
        <v>3.2839418159999996</v>
      </c>
      <c r="C39" s="73">
        <f>'P&amp;L'!C32</f>
        <v>3.2839418159999996</v>
      </c>
      <c r="D39" s="73">
        <f>'P&amp;L'!D32</f>
        <v>3.2839418159999996</v>
      </c>
      <c r="E39" s="73">
        <f>'P&amp;L'!E32</f>
        <v>3.2839418159999996</v>
      </c>
      <c r="F39" s="73">
        <f>'P&amp;L'!F32</f>
        <v>3.2839418159999996</v>
      </c>
      <c r="G39" s="73">
        <f>'P&amp;L'!G32</f>
        <v>3.2839418159999996</v>
      </c>
      <c r="H39" s="73">
        <f>'P&amp;L'!H32</f>
        <v>3.2839418159999996</v>
      </c>
      <c r="I39" s="73">
        <f>'P&amp;L'!I32</f>
        <v>3.2839418159999996</v>
      </c>
      <c r="J39" s="73">
        <f>'P&amp;L'!J32</f>
        <v>3.2839418159999996</v>
      </c>
      <c r="K39" s="73">
        <f>'P&amp;L'!K32</f>
        <v>3.2839418159999996</v>
      </c>
    </row>
    <row r="40" spans="1:11" x14ac:dyDescent="0.25">
      <c r="A40" s="36" t="s">
        <v>452</v>
      </c>
      <c r="B40" s="73">
        <f>'P&amp;L'!B27</f>
        <v>0.40316760000000001</v>
      </c>
      <c r="C40" s="73">
        <f>'P&amp;L'!C27</f>
        <v>0.40316760000000001</v>
      </c>
      <c r="D40" s="73">
        <f>'P&amp;L'!D27</f>
        <v>0.40316760000000001</v>
      </c>
      <c r="E40" s="73">
        <f>'P&amp;L'!E27</f>
        <v>0.40316760000000001</v>
      </c>
      <c r="F40" s="73">
        <f>'P&amp;L'!F27</f>
        <v>0.40316760000000001</v>
      </c>
      <c r="G40" s="73">
        <f>'P&amp;L'!G27</f>
        <v>0.40316760000000001</v>
      </c>
      <c r="H40" s="73">
        <f>'P&amp;L'!H27</f>
        <v>0.40316760000000001</v>
      </c>
      <c r="I40" s="73">
        <f>'P&amp;L'!I27</f>
        <v>0.40316760000000001</v>
      </c>
      <c r="J40" s="73">
        <f>'P&amp;L'!J27</f>
        <v>0.40316760000000001</v>
      </c>
      <c r="K40" s="73">
        <f>'P&amp;L'!K27</f>
        <v>0.40316760000000001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364</v>
      </c>
      <c r="B42" s="123">
        <f>(B36+B37+B38+B39+B40)/B33</f>
        <v>0.71620315564666248</v>
      </c>
      <c r="C42" s="123">
        <f t="shared" ref="C42:K42" si="5">(C36+C37+C38+C39+C40)/C33</f>
        <v>0.70189511941984861</v>
      </c>
      <c r="D42" s="123">
        <f t="shared" si="5"/>
        <v>0.62730884813136667</v>
      </c>
      <c r="E42" s="123">
        <f t="shared" si="5"/>
        <v>0.58323917127066249</v>
      </c>
      <c r="F42" s="123">
        <f t="shared" si="5"/>
        <v>0.54439678658959556</v>
      </c>
      <c r="G42" s="123">
        <f t="shared" si="5"/>
        <v>0.50846973638796689</v>
      </c>
      <c r="H42" s="123">
        <f t="shared" si="5"/>
        <v>0.46899769324769552</v>
      </c>
      <c r="I42" s="123">
        <f t="shared" si="5"/>
        <v>0.43560814451474517</v>
      </c>
      <c r="J42" s="123">
        <f t="shared" si="5"/>
        <v>0.42017935869637713</v>
      </c>
      <c r="K42" s="123">
        <f t="shared" si="5"/>
        <v>0.39341773071977498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6" t="s">
        <v>365</v>
      </c>
      <c r="B44" s="137">
        <f>AVERAGE(B42:K42)</f>
        <v>0.53997157446246957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9"/>
      <c r="B45" s="119"/>
    </row>
    <row r="46" spans="1:11" hidden="1" x14ac:dyDescent="0.25">
      <c r="A46" s="138" t="s">
        <v>453</v>
      </c>
      <c r="B46" s="138"/>
    </row>
    <row r="47" spans="1:11" hidden="1" x14ac:dyDescent="0.25">
      <c r="A47" s="119"/>
      <c r="B47" s="119"/>
    </row>
    <row r="49" spans="1:11" x14ac:dyDescent="0.25">
      <c r="A49" s="15" t="s">
        <v>366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505</v>
      </c>
      <c r="J49" s="46" t="s">
        <v>506</v>
      </c>
      <c r="K49" s="46" t="s">
        <v>507</v>
      </c>
    </row>
    <row r="50" spans="1:11" x14ac:dyDescent="0.25">
      <c r="A50" s="36" t="s">
        <v>367</v>
      </c>
      <c r="B50" s="72">
        <f>'P&amp;L'!B36</f>
        <v>5.2505821767499556</v>
      </c>
      <c r="C50" s="72">
        <f>'P&amp;L'!C36</f>
        <v>5.9838678068712641</v>
      </c>
      <c r="D50" s="72">
        <f>'P&amp;L'!D36</f>
        <v>8.8070304863611266</v>
      </c>
      <c r="E50" s="72">
        <f>'P&amp;L'!E36</f>
        <v>11.155324114054206</v>
      </c>
      <c r="F50" s="72">
        <f>'P&amp;L'!F36</f>
        <v>13.790417500295709</v>
      </c>
      <c r="G50" s="72">
        <f>'P&amp;L'!G36</f>
        <v>16.793967418170929</v>
      </c>
      <c r="H50" s="72">
        <f>'P&amp;L'!H36</f>
        <v>20.792580436954793</v>
      </c>
      <c r="I50" s="72">
        <f>'P&amp;L'!I36</f>
        <v>25.118837195264724</v>
      </c>
      <c r="J50" s="72">
        <f>'P&amp;L'!J36</f>
        <v>27.898696948721401</v>
      </c>
      <c r="K50" s="72">
        <f>'P&amp;L'!K36</f>
        <v>32.8983170470947</v>
      </c>
    </row>
    <row r="51" spans="1:11" x14ac:dyDescent="0.25">
      <c r="A51" s="36" t="s">
        <v>368</v>
      </c>
      <c r="B51" s="72">
        <f>'P&amp;L'!B32</f>
        <v>3.2839418159999996</v>
      </c>
      <c r="C51" s="72">
        <f>'P&amp;L'!C32</f>
        <v>3.2839418159999996</v>
      </c>
      <c r="D51" s="72">
        <f>'P&amp;L'!D32</f>
        <v>3.2839418159999996</v>
      </c>
      <c r="E51" s="72">
        <f>'P&amp;L'!E32</f>
        <v>3.2839418159999996</v>
      </c>
      <c r="F51" s="72">
        <f>'P&amp;L'!F32</f>
        <v>3.2839418159999996</v>
      </c>
      <c r="G51" s="72">
        <f>'P&amp;L'!G32</f>
        <v>3.2839418159999996</v>
      </c>
      <c r="H51" s="72">
        <f>'P&amp;L'!H32</f>
        <v>3.2839418159999996</v>
      </c>
      <c r="I51" s="72">
        <f>'P&amp;L'!I32</f>
        <v>3.2839418159999996</v>
      </c>
      <c r="J51" s="72">
        <f>'P&amp;L'!J32</f>
        <v>3.2839418159999996</v>
      </c>
      <c r="K51" s="72">
        <f>'P&amp;L'!K32</f>
        <v>3.2839418159999996</v>
      </c>
    </row>
    <row r="52" spans="1:11" x14ac:dyDescent="0.25">
      <c r="A52" s="36" t="s">
        <v>369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452</v>
      </c>
      <c r="B53" s="72">
        <f>'P&amp;L'!B27</f>
        <v>0.40316760000000001</v>
      </c>
      <c r="C53" s="72">
        <f>'P&amp;L'!C27</f>
        <v>0.40316760000000001</v>
      </c>
      <c r="D53" s="72">
        <f>'P&amp;L'!D27</f>
        <v>0.40316760000000001</v>
      </c>
      <c r="E53" s="72">
        <f>'P&amp;L'!E27</f>
        <v>0.40316760000000001</v>
      </c>
      <c r="F53" s="72">
        <f>'P&amp;L'!F27</f>
        <v>0.40316760000000001</v>
      </c>
      <c r="G53" s="72">
        <f>'P&amp;L'!G27</f>
        <v>0.40316760000000001</v>
      </c>
      <c r="H53" s="72">
        <f>'P&amp;L'!H27</f>
        <v>0.40316760000000001</v>
      </c>
      <c r="I53" s="72">
        <f>'P&amp;L'!I27</f>
        <v>0.40316760000000001</v>
      </c>
      <c r="J53" s="72">
        <f>'P&amp;L'!J27</f>
        <v>0.40316760000000001</v>
      </c>
      <c r="K53" s="72">
        <f>'P&amp;L'!K27</f>
        <v>0.40316760000000001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370</v>
      </c>
      <c r="B55" s="72">
        <f>SUM(B50:B54)</f>
        <v>8.9376915927499549</v>
      </c>
      <c r="C55" s="72">
        <f t="shared" ref="C55:H55" si="6">SUM(C50:C54)</f>
        <v>9.6709772228712634</v>
      </c>
      <c r="D55" s="72">
        <f t="shared" si="6"/>
        <v>12.494139902361127</v>
      </c>
      <c r="E55" s="72">
        <f t="shared" si="6"/>
        <v>14.842433530054205</v>
      </c>
      <c r="F55" s="72">
        <f t="shared" si="6"/>
        <v>17.477526916295709</v>
      </c>
      <c r="G55" s="72">
        <f t="shared" si="6"/>
        <v>20.481076834170928</v>
      </c>
      <c r="H55" s="72">
        <f t="shared" si="6"/>
        <v>24.479689852954792</v>
      </c>
      <c r="I55" s="72">
        <f t="shared" ref="I55:K55" si="7">SUM(I50:I54)</f>
        <v>28.805946611264723</v>
      </c>
      <c r="J55" s="72">
        <f t="shared" si="7"/>
        <v>31.5858063647214</v>
      </c>
      <c r="K55" s="72">
        <f t="shared" si="7"/>
        <v>36.585426463094706</v>
      </c>
    </row>
    <row r="56" spans="1:11" x14ac:dyDescent="0.25">
      <c r="A56" s="36" t="s">
        <v>371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4" t="s">
        <v>366</v>
      </c>
      <c r="B58" s="125" t="e">
        <f>B55/B56</f>
        <v>#DIV/0!</v>
      </c>
      <c r="C58" s="125" t="e">
        <f t="shared" ref="C58:G58" si="8">C55/C56</f>
        <v>#DIV/0!</v>
      </c>
      <c r="D58" s="125" t="e">
        <f t="shared" si="8"/>
        <v>#DIV/0!</v>
      </c>
      <c r="E58" s="125" t="e">
        <f t="shared" si="8"/>
        <v>#DIV/0!</v>
      </c>
      <c r="F58" s="125" t="e">
        <f t="shared" si="8"/>
        <v>#DIV/0!</v>
      </c>
      <c r="G58" s="125" t="e">
        <f t="shared" si="8"/>
        <v>#DIV/0!</v>
      </c>
      <c r="H58" s="125">
        <v>0</v>
      </c>
      <c r="I58" s="125">
        <v>0</v>
      </c>
      <c r="J58" s="125">
        <v>0</v>
      </c>
      <c r="K58" s="125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4" t="s">
        <v>372</v>
      </c>
      <c r="B60" s="125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32"/>
      <c r="E1" s="332"/>
      <c r="F1" s="332"/>
      <c r="G1" s="332"/>
      <c r="H1" s="332"/>
      <c r="I1" s="332"/>
      <c r="J1" s="333"/>
    </row>
    <row r="2" spans="1:10" x14ac:dyDescent="0.25">
      <c r="A2" s="192" t="s">
        <v>476</v>
      </c>
      <c r="B2" s="192" t="s">
        <v>1</v>
      </c>
      <c r="C2" s="193" t="s">
        <v>477</v>
      </c>
      <c r="D2" s="193" t="s">
        <v>483</v>
      </c>
      <c r="E2" s="193" t="s">
        <v>37</v>
      </c>
      <c r="F2" s="46" t="s">
        <v>38</v>
      </c>
      <c r="G2" s="193" t="s">
        <v>39</v>
      </c>
      <c r="H2" s="193" t="s">
        <v>40</v>
      </c>
      <c r="I2" s="46" t="s">
        <v>41</v>
      </c>
      <c r="J2" s="193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482</v>
      </c>
      <c r="C4" s="43">
        <v>1000</v>
      </c>
      <c r="D4" s="9">
        <f>'P&amp;L'!B36*100000/('Output Schedule'!B12+'Output Schedule'!B17)</f>
        <v>218.77425736458147</v>
      </c>
      <c r="E4" s="9">
        <f>'P&amp;L'!C36*100000/('Output Schedule'!C12+'Output Schedule'!C17)</f>
        <v>221.62473358782461</v>
      </c>
      <c r="F4" s="9">
        <f>'P&amp;L'!D36*100000/('Output Schedule'!D12+'Output Schedule'!D17)</f>
        <v>293.56768287870426</v>
      </c>
      <c r="G4" s="9">
        <f>'P&amp;L'!E36*100000/('Output Schedule'!E12+'Output Schedule'!E17)</f>
        <v>338.04012466830926</v>
      </c>
      <c r="H4" s="9">
        <f>'P&amp;L'!F36*100000/('Output Schedule'!F12+'Output Schedule'!F17)</f>
        <v>383.06715278599194</v>
      </c>
      <c r="I4" s="9">
        <f>'P&amp;L'!G36*100000/('Output Schedule'!G12+'Output Schedule'!G17)</f>
        <v>430.61454918387</v>
      </c>
      <c r="J4" s="9">
        <f>'P&amp;L'!H36*100000/('Output Schedule'!H12+'Output Schedule'!H17)</f>
        <v>495.06143897511413</v>
      </c>
    </row>
    <row r="5" spans="1:10" x14ac:dyDescent="0.25">
      <c r="A5" s="6"/>
      <c r="B5" s="83" t="s">
        <v>496</v>
      </c>
      <c r="C5" s="190"/>
      <c r="D5" s="11">
        <f>D4</f>
        <v>218.77425736458147</v>
      </c>
      <c r="E5" s="11">
        <f t="shared" ref="E5:J5" si="0">E4</f>
        <v>221.62473358782461</v>
      </c>
      <c r="F5" s="11">
        <f t="shared" si="0"/>
        <v>293.56768287870426</v>
      </c>
      <c r="G5" s="11">
        <f t="shared" si="0"/>
        <v>338.04012466830926</v>
      </c>
      <c r="H5" s="11">
        <f t="shared" si="0"/>
        <v>383.06715278599194</v>
      </c>
      <c r="I5" s="11">
        <f t="shared" si="0"/>
        <v>430.61454918387</v>
      </c>
      <c r="J5" s="11">
        <f t="shared" si="0"/>
        <v>495.06143897511413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4"/>
      <c r="B7" s="195"/>
      <c r="C7" s="196"/>
      <c r="D7" s="197"/>
      <c r="E7" s="197"/>
      <c r="F7" s="197"/>
      <c r="G7" s="197"/>
      <c r="H7" s="197"/>
      <c r="I7" s="197"/>
      <c r="J7" s="197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8"/>
      <c r="B9" s="199" t="s">
        <v>478</v>
      </c>
      <c r="C9" s="200"/>
      <c r="D9" s="198"/>
      <c r="E9" s="198"/>
      <c r="F9" s="198"/>
      <c r="G9" s="198"/>
      <c r="H9" s="198"/>
      <c r="I9" s="198"/>
      <c r="J9" s="198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479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2" t="s">
        <v>480</v>
      </c>
      <c r="C12" s="43"/>
      <c r="D12" s="11">
        <f>D5*0.6</f>
        <v>131.26455441874887</v>
      </c>
      <c r="E12" s="11">
        <f t="shared" ref="E12:J12" si="1">E5*0.6</f>
        <v>132.97484015269475</v>
      </c>
      <c r="F12" s="11">
        <f t="shared" si="1"/>
        <v>176.14060972722254</v>
      </c>
      <c r="G12" s="11">
        <f t="shared" si="1"/>
        <v>202.82407480098556</v>
      </c>
      <c r="H12" s="11">
        <f t="shared" si="1"/>
        <v>229.84029167159517</v>
      </c>
      <c r="I12" s="11">
        <f t="shared" si="1"/>
        <v>258.368729510322</v>
      </c>
      <c r="J12" s="11">
        <f t="shared" si="1"/>
        <v>297.03686338506844</v>
      </c>
    </row>
    <row r="13" spans="1:10" x14ac:dyDescent="0.25">
      <c r="A13" s="6"/>
      <c r="B13" s="202" t="s">
        <v>481</v>
      </c>
      <c r="C13" s="43"/>
      <c r="D13" s="11">
        <f>D5*0.4</f>
        <v>87.509702945832601</v>
      </c>
      <c r="E13" s="11">
        <f t="shared" ref="E13:J13" si="2">E5*0.4</f>
        <v>88.649893435129854</v>
      </c>
      <c r="F13" s="11">
        <f t="shared" si="2"/>
        <v>117.42707315148171</v>
      </c>
      <c r="G13" s="11">
        <f t="shared" si="2"/>
        <v>135.2160498673237</v>
      </c>
      <c r="H13" s="11">
        <f t="shared" si="2"/>
        <v>153.22686111439677</v>
      </c>
      <c r="I13" s="11">
        <f t="shared" si="2"/>
        <v>172.245819673548</v>
      </c>
      <c r="J13" s="11">
        <f t="shared" si="2"/>
        <v>198.02457559004566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4" t="s">
        <v>1</v>
      </c>
      <c r="B1" s="191" t="s">
        <v>36</v>
      </c>
      <c r="C1" s="191" t="s">
        <v>37</v>
      </c>
      <c r="D1" s="191" t="s">
        <v>38</v>
      </c>
      <c r="E1" s="191" t="s">
        <v>39</v>
      </c>
      <c r="F1" s="191" t="s">
        <v>40</v>
      </c>
      <c r="G1" s="191" t="s">
        <v>41</v>
      </c>
      <c r="H1" s="191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484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485</v>
      </c>
      <c r="B4" s="205">
        <f>'Output Schedule'!B12+'Output Schedule'!B17</f>
        <v>2400</v>
      </c>
      <c r="C4" s="205">
        <f>'Output Schedule'!C12+'Output Schedule'!C17</f>
        <v>2700</v>
      </c>
      <c r="D4" s="205">
        <f>'Output Schedule'!D12+'Output Schedule'!D17</f>
        <v>3000</v>
      </c>
      <c r="E4" s="205">
        <f>'Output Schedule'!E12+'Output Schedule'!E17</f>
        <v>3300.0000000000005</v>
      </c>
      <c r="F4" s="205">
        <f>'Output Schedule'!F12+'Output Schedule'!F17</f>
        <v>3600</v>
      </c>
      <c r="G4" s="205">
        <f>'Output Schedule'!G12+'Output Schedule'!G17</f>
        <v>3900</v>
      </c>
      <c r="H4" s="205">
        <f>'Output Schedule'!H12+'Output Schedule'!H17</f>
        <v>4200</v>
      </c>
    </row>
    <row r="5" spans="1:8" x14ac:dyDescent="0.25">
      <c r="A5" s="10" t="s">
        <v>486</v>
      </c>
      <c r="B5" s="19">
        <f>'[2]Prices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498</v>
      </c>
      <c r="B6" s="9">
        <f t="shared" ref="B6:H6" si="0">B4/$B$5</f>
        <v>487.90123456790127</v>
      </c>
      <c r="C6" s="9">
        <f t="shared" si="0"/>
        <v>548.88888888888891</v>
      </c>
      <c r="D6" s="9">
        <f t="shared" si="0"/>
        <v>609.87654320987656</v>
      </c>
      <c r="E6" s="9">
        <f t="shared" si="0"/>
        <v>670.86419753086432</v>
      </c>
      <c r="F6" s="9">
        <f t="shared" si="0"/>
        <v>731.85185185185185</v>
      </c>
      <c r="G6" s="9">
        <f t="shared" si="0"/>
        <v>792.83950617283961</v>
      </c>
      <c r="H6" s="9">
        <f t="shared" si="0"/>
        <v>853.82716049382725</v>
      </c>
    </row>
    <row r="7" spans="1:8" x14ac:dyDescent="0.25">
      <c r="A7" s="10" t="s">
        <v>499</v>
      </c>
      <c r="B7" s="9">
        <f>B6/2.47</f>
        <v>197.53086419753086</v>
      </c>
      <c r="C7" s="9">
        <f t="shared" ref="C7:H7" si="1">C6/2.47</f>
        <v>222.22222222222223</v>
      </c>
      <c r="D7" s="9">
        <f t="shared" si="1"/>
        <v>246.91358024691357</v>
      </c>
      <c r="E7" s="9">
        <f t="shared" si="1"/>
        <v>271.60493827160496</v>
      </c>
      <c r="F7" s="9">
        <f t="shared" si="1"/>
        <v>296.29629629629625</v>
      </c>
      <c r="G7" s="9">
        <f t="shared" si="1"/>
        <v>320.98765432098764</v>
      </c>
      <c r="H7" s="9">
        <f t="shared" si="1"/>
        <v>345.67901234567904</v>
      </c>
    </row>
    <row r="8" spans="1:8" ht="30" x14ac:dyDescent="0.25">
      <c r="A8" s="206" t="s">
        <v>500</v>
      </c>
      <c r="B8" s="207">
        <f>ROUND(B7,0)</f>
        <v>198</v>
      </c>
      <c r="C8" s="207">
        <f t="shared" ref="C8:H8" si="2">ROUND(C7,0)</f>
        <v>222</v>
      </c>
      <c r="D8" s="207">
        <f t="shared" si="2"/>
        <v>247</v>
      </c>
      <c r="E8" s="207">
        <f t="shared" si="2"/>
        <v>272</v>
      </c>
      <c r="F8" s="207">
        <f t="shared" si="2"/>
        <v>296</v>
      </c>
      <c r="G8" s="207">
        <f t="shared" si="2"/>
        <v>321</v>
      </c>
      <c r="H8" s="207">
        <f t="shared" si="2"/>
        <v>346</v>
      </c>
    </row>
    <row r="9" spans="1:8" ht="30" x14ac:dyDescent="0.25">
      <c r="A9" s="206" t="s">
        <v>501</v>
      </c>
      <c r="B9" s="208">
        <f>'Benefit-FPO-Producer'!D13</f>
        <v>87.509702945832601</v>
      </c>
      <c r="C9" s="208">
        <f>'Benefit-FPO-Producer'!E13</f>
        <v>88.649893435129854</v>
      </c>
      <c r="D9" s="208">
        <f>'Benefit-FPO-Producer'!F13</f>
        <v>117.42707315148171</v>
      </c>
      <c r="E9" s="208">
        <f>'Benefit-FPO-Producer'!G13</f>
        <v>135.2160498673237</v>
      </c>
      <c r="F9" s="208">
        <f>'Benefit-FPO-Producer'!H13</f>
        <v>153.22686111439677</v>
      </c>
      <c r="G9" s="208">
        <f>'Benefit-FPO-Producer'!I13</f>
        <v>172.245819673548</v>
      </c>
      <c r="H9" s="208">
        <f>'Benefit-FPO-Producer'!J13</f>
        <v>198.02457559004566</v>
      </c>
    </row>
    <row r="10" spans="1:8" ht="30.75" customHeight="1" x14ac:dyDescent="0.25">
      <c r="A10" s="203" t="s">
        <v>487</v>
      </c>
      <c r="B10" s="209">
        <f>B9*B4/100000</f>
        <v>2.1002328706999824</v>
      </c>
      <c r="C10" s="209">
        <f t="shared" ref="C10:H10" si="3">C9*C4/100000</f>
        <v>2.3935471227485059</v>
      </c>
      <c r="D10" s="209">
        <f t="shared" si="3"/>
        <v>3.5228121945444513</v>
      </c>
      <c r="E10" s="209">
        <f t="shared" si="3"/>
        <v>4.4621296456216832</v>
      </c>
      <c r="F10" s="209">
        <f t="shared" si="3"/>
        <v>5.5161670001182834</v>
      </c>
      <c r="G10" s="209">
        <f t="shared" si="3"/>
        <v>6.7175869672683719</v>
      </c>
      <c r="H10" s="209">
        <f t="shared" si="3"/>
        <v>8.3170321747819163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10" t="s">
        <v>494</v>
      </c>
      <c r="B12" s="211">
        <f>'Benefit-FPO-Producer'!D12</f>
        <v>131.26455441874887</v>
      </c>
      <c r="C12" s="211">
        <f>'Benefit-FPO-Producer'!E12</f>
        <v>132.97484015269475</v>
      </c>
      <c r="D12" s="211">
        <f>'Benefit-FPO-Producer'!F12</f>
        <v>176.14060972722254</v>
      </c>
      <c r="E12" s="211">
        <f>'Benefit-FPO-Producer'!G12</f>
        <v>202.82407480098556</v>
      </c>
      <c r="F12" s="211">
        <f>'Benefit-FPO-Producer'!H12</f>
        <v>229.84029167159517</v>
      </c>
      <c r="G12" s="211">
        <f>'Benefit-FPO-Producer'!I12</f>
        <v>258.368729510322</v>
      </c>
      <c r="H12" s="211">
        <f>'Benefit-FPO-Producer'!J12</f>
        <v>297.03686338506844</v>
      </c>
    </row>
    <row r="13" spans="1:8" ht="30" x14ac:dyDescent="0.25">
      <c r="A13" s="212" t="s">
        <v>488</v>
      </c>
      <c r="B13" s="211">
        <f t="shared" ref="B13:H13" si="4">B4*B12/100000</f>
        <v>3.1503493060499728</v>
      </c>
      <c r="C13" s="211">
        <f t="shared" si="4"/>
        <v>3.5903206841227582</v>
      </c>
      <c r="D13" s="211">
        <f t="shared" si="4"/>
        <v>5.2842182918166767</v>
      </c>
      <c r="E13" s="211">
        <f t="shared" si="4"/>
        <v>6.693194468432524</v>
      </c>
      <c r="F13" s="211">
        <f t="shared" si="4"/>
        <v>8.2742505001774251</v>
      </c>
      <c r="G13" s="211">
        <f t="shared" si="4"/>
        <v>10.076380450902558</v>
      </c>
      <c r="H13" s="211">
        <f t="shared" si="4"/>
        <v>12.475548262172875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3"/>
      <c r="B15" s="214"/>
      <c r="C15" s="214"/>
      <c r="D15" s="214"/>
      <c r="E15" s="214"/>
      <c r="F15" s="214"/>
      <c r="G15" s="214"/>
      <c r="H15" s="214"/>
    </row>
    <row r="16" spans="1:8" ht="30" x14ac:dyDescent="0.25">
      <c r="A16" s="213" t="s">
        <v>495</v>
      </c>
      <c r="B16" s="214">
        <f>B13+B10</f>
        <v>5.2505821767499548</v>
      </c>
      <c r="C16" s="214">
        <f t="shared" ref="C16:H16" si="5">C13+C10</f>
        <v>5.9838678068712641</v>
      </c>
      <c r="D16" s="214">
        <f t="shared" si="5"/>
        <v>8.8070304863611284</v>
      </c>
      <c r="E16" s="214">
        <f t="shared" si="5"/>
        <v>11.155324114054206</v>
      </c>
      <c r="F16" s="214">
        <f t="shared" si="5"/>
        <v>13.790417500295709</v>
      </c>
      <c r="G16" s="214">
        <f t="shared" si="5"/>
        <v>16.793967418170929</v>
      </c>
      <c r="H16" s="214">
        <f t="shared" si="5"/>
        <v>20.792580436954793</v>
      </c>
    </row>
    <row r="17" spans="1:8" x14ac:dyDescent="0.25">
      <c r="A17" s="215" t="s">
        <v>489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490</v>
      </c>
      <c r="B18" s="45">
        <f>B16*B17</f>
        <v>4.8170478685779399</v>
      </c>
      <c r="C18" s="45">
        <f t="shared" ref="C18:H18" si="7">C16*C17</f>
        <v>5.0365018153953907</v>
      </c>
      <c r="D18" s="45">
        <f t="shared" si="7"/>
        <v>6.8006434499622221</v>
      </c>
      <c r="E18" s="45">
        <f t="shared" si="7"/>
        <v>7.9027128399995261</v>
      </c>
      <c r="F18" s="45">
        <f t="shared" si="7"/>
        <v>8.9628251636001508</v>
      </c>
      <c r="G18" s="45">
        <f t="shared" si="7"/>
        <v>10.013694060129426</v>
      </c>
      <c r="H18" s="45">
        <f t="shared" si="7"/>
        <v>11.374253537673496</v>
      </c>
    </row>
    <row r="19" spans="1:8" s="3" customFormat="1" ht="30" x14ac:dyDescent="0.25">
      <c r="A19" s="213" t="s">
        <v>491</v>
      </c>
      <c r="B19" s="11">
        <f>SUM(B18:H18)</f>
        <v>54.907678735338152</v>
      </c>
      <c r="C19" s="8"/>
      <c r="D19" s="8"/>
      <c r="E19" s="8"/>
      <c r="F19" s="8"/>
      <c r="G19" s="8"/>
      <c r="H19" s="8"/>
    </row>
    <row r="20" spans="1:8" x14ac:dyDescent="0.25">
      <c r="A20" s="10" t="s">
        <v>492</v>
      </c>
      <c r="B20" s="45">
        <f>'BEP &amp; DSCR'!B20</f>
        <v>89.859050841666672</v>
      </c>
      <c r="C20" s="6"/>
      <c r="D20" s="6"/>
      <c r="E20" s="6"/>
      <c r="F20" s="6"/>
      <c r="G20" s="6"/>
      <c r="H20" s="6"/>
    </row>
    <row r="21" spans="1:8" ht="33.75" customHeight="1" x14ac:dyDescent="0.25">
      <c r="A21" s="203" t="s">
        <v>497</v>
      </c>
      <c r="B21" s="201">
        <f>B19-B20</f>
        <v>-34.95137210632852</v>
      </c>
      <c r="C21" s="6"/>
      <c r="D21" s="6"/>
      <c r="E21" s="6"/>
      <c r="F21" s="6"/>
      <c r="G21" s="6"/>
      <c r="H21" s="6"/>
    </row>
    <row r="22" spans="1:8" x14ac:dyDescent="0.25">
      <c r="A22" s="203" t="s">
        <v>493</v>
      </c>
      <c r="B22" s="217">
        <f>IRR(A24:H24)</f>
        <v>-1.7051438669582919E-2</v>
      </c>
      <c r="C22" s="6"/>
      <c r="D22" s="6"/>
      <c r="E22" s="6"/>
      <c r="F22" s="6"/>
      <c r="G22" s="6"/>
      <c r="H22" s="6"/>
    </row>
    <row r="24" spans="1:8" x14ac:dyDescent="0.25">
      <c r="A24" s="216">
        <f>-B20</f>
        <v>-89.859050841666672</v>
      </c>
      <c r="B24" s="25">
        <f>B16</f>
        <v>5.2505821767499548</v>
      </c>
      <c r="C24" s="25">
        <f t="shared" ref="C24:H24" si="8">C16</f>
        <v>5.9838678068712641</v>
      </c>
      <c r="D24" s="25">
        <f t="shared" si="8"/>
        <v>8.8070304863611284</v>
      </c>
      <c r="E24" s="25">
        <f t="shared" si="8"/>
        <v>11.155324114054206</v>
      </c>
      <c r="F24" s="25">
        <f t="shared" si="8"/>
        <v>13.790417500295709</v>
      </c>
      <c r="G24" s="25">
        <f t="shared" si="8"/>
        <v>16.793967418170929</v>
      </c>
      <c r="H24" s="25">
        <f t="shared" si="8"/>
        <v>20.792580436954793</v>
      </c>
    </row>
    <row r="26" spans="1:8" x14ac:dyDescent="0.25">
      <c r="B26" s="8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50" t="s">
        <v>1</v>
      </c>
      <c r="B1" s="250" t="s">
        <v>204</v>
      </c>
      <c r="C1" s="250" t="s">
        <v>217</v>
      </c>
      <c r="D1" s="250" t="s">
        <v>230</v>
      </c>
      <c r="E1" s="250" t="s">
        <v>243</v>
      </c>
      <c r="F1" s="250" t="s">
        <v>256</v>
      </c>
      <c r="G1" s="250" t="s">
        <v>269</v>
      </c>
    </row>
    <row r="2" spans="1:7" x14ac:dyDescent="0.25">
      <c r="A2" s="251" t="s">
        <v>560</v>
      </c>
      <c r="B2" s="252">
        <f>'P&amp;L'!B9</f>
        <v>553.54</v>
      </c>
      <c r="C2" s="252">
        <f>'P&amp;L'!C9</f>
        <v>675.92700000000002</v>
      </c>
      <c r="D2" s="252">
        <f>'P&amp;L'!D9</f>
        <v>789.82060000000013</v>
      </c>
      <c r="E2" s="252">
        <f>'P&amp;L'!E9</f>
        <v>911.78370000000007</v>
      </c>
      <c r="F2" s="252">
        <f>'P&amp;L'!F9</f>
        <v>1044.0075000000002</v>
      </c>
      <c r="G2" s="252">
        <f>'P&amp;L'!G9</f>
        <v>1188.1994999999999</v>
      </c>
    </row>
    <row r="3" spans="1:7" x14ac:dyDescent="0.25">
      <c r="A3" s="251" t="s">
        <v>566</v>
      </c>
      <c r="B3" s="252">
        <f>'P&amp;L'!B14-'P&amp;L'!B9</f>
        <v>24.259999999999991</v>
      </c>
      <c r="C3" s="252">
        <f>'P&amp;L'!C14-'P&amp;L'!C9</f>
        <v>4.1005000000000109</v>
      </c>
      <c r="D3" s="252">
        <f>'P&amp;L'!D14-'P&amp;L'!D9</f>
        <v>4.1771999999999707</v>
      </c>
      <c r="E3" s="252">
        <f>'P&amp;L'!E14-'P&amp;L'!E9</f>
        <v>5.1023000000000138</v>
      </c>
      <c r="F3" s="252">
        <f>'P&amp;L'!F14-'P&amp;L'!F9</f>
        <v>5.9755999999999858</v>
      </c>
      <c r="G3" s="252">
        <f>'P&amp;L'!G14-'P&amp;L'!G9</f>
        <v>6.0106999999998152</v>
      </c>
    </row>
    <row r="4" spans="1:7" x14ac:dyDescent="0.25">
      <c r="A4" s="251" t="s">
        <v>561</v>
      </c>
      <c r="B4" s="253">
        <f>'P&amp;L'!B21+'P&amp;L'!B23+'P&amp;L'!B25-'Opex Schedule'!C18</f>
        <v>563.18196760000001</v>
      </c>
      <c r="C4" s="253">
        <f>'P&amp;L'!C21+'P&amp;L'!C23+'P&amp;L'!C25-'Opex Schedule'!D18</f>
        <v>663.24856598000008</v>
      </c>
      <c r="D4" s="253">
        <f>'P&amp;L'!D21+'P&amp;L'!D23+'P&amp;L'!D25-'Opex Schedule'!E18</f>
        <v>772.70839227900001</v>
      </c>
      <c r="E4" s="253">
        <f>'P&amp;L'!E21+'P&amp;L'!E23+'P&amp;L'!E25-'Opex Schedule'!F18</f>
        <v>891.30799189294999</v>
      </c>
      <c r="F4" s="253">
        <f>'P&amp;L'!F21+'P&amp;L'!F23+'P&amp;L'!F25-'Opex Schedule'!G18</f>
        <v>1019.6824144875975</v>
      </c>
      <c r="G4" s="253">
        <f>'P&amp;L'!G21+'P&amp;L'!G23+'P&amp;L'!G25-'Opex Schedule'!H18</f>
        <v>1158.6821552119773</v>
      </c>
    </row>
    <row r="5" spans="1:7" x14ac:dyDescent="0.25">
      <c r="A5" s="251" t="s">
        <v>562</v>
      </c>
      <c r="B5" s="253">
        <f>B2-B4</f>
        <v>-9.6419676000000436</v>
      </c>
      <c r="C5" s="253">
        <f t="shared" ref="C5:G5" si="0">C2-C4</f>
        <v>12.678434019999941</v>
      </c>
      <c r="D5" s="253">
        <f t="shared" si="0"/>
        <v>17.112207721000118</v>
      </c>
      <c r="E5" s="253">
        <f t="shared" si="0"/>
        <v>20.475708107050082</v>
      </c>
      <c r="F5" s="253">
        <f t="shared" si="0"/>
        <v>24.325085512402666</v>
      </c>
      <c r="G5" s="253">
        <f t="shared" si="0"/>
        <v>29.517344788022683</v>
      </c>
    </row>
    <row r="6" spans="1:7" x14ac:dyDescent="0.25">
      <c r="A6" s="251" t="s">
        <v>563</v>
      </c>
      <c r="B6" s="252">
        <f>'P&amp;L'!B29+'P&amp;L'!B27</f>
        <v>10.340032399999956</v>
      </c>
      <c r="C6" s="252">
        <f>'P&amp;L'!C29+'P&amp;L'!C27</f>
        <v>12.287034020000036</v>
      </c>
      <c r="D6" s="252">
        <f>'P&amp;L'!D29+'P&amp;L'!D27</f>
        <v>16.57291272100009</v>
      </c>
      <c r="E6" s="252">
        <f>'P&amp;L'!E29+'P&amp;L'!E27</f>
        <v>20.625688357050127</v>
      </c>
      <c r="F6" s="252">
        <f>'P&amp;L'!F29+'P&amp;L'!F27</f>
        <v>25.100749774902695</v>
      </c>
      <c r="G6" s="252">
        <f>'P&amp;L'!G29+'P&amp;L'!G27</f>
        <v>30.068112263647375</v>
      </c>
    </row>
    <row r="7" spans="1:7" x14ac:dyDescent="0.25">
      <c r="A7" s="251" t="s">
        <v>564</v>
      </c>
      <c r="B7" s="252">
        <f>'P&amp;L'!B34</f>
        <v>5.2505821767499556</v>
      </c>
      <c r="C7" s="252">
        <f>'P&amp;L'!C34</f>
        <v>6.7670991626375381</v>
      </c>
      <c r="D7" s="252">
        <f>'P&amp;L'!D34</f>
        <v>10.746722045944466</v>
      </c>
      <c r="E7" s="252">
        <f>'P&amp;L'!E34</f>
        <v>14.461855225291721</v>
      </c>
      <c r="F7" s="252">
        <f>'P&amp;L'!F34</f>
        <v>18.542635860168868</v>
      </c>
      <c r="G7" s="252">
        <f>'P&amp;L'!G34</f>
        <v>23.11132668491436</v>
      </c>
    </row>
    <row r="8" spans="1:7" x14ac:dyDescent="0.25">
      <c r="A8" s="251" t="s">
        <v>565</v>
      </c>
      <c r="B8" s="252">
        <f>'P&amp;L'!B36</f>
        <v>5.2505821767499556</v>
      </c>
      <c r="C8" s="252">
        <f>'P&amp;L'!C36</f>
        <v>5.9838678068712641</v>
      </c>
      <c r="D8" s="252">
        <f>'P&amp;L'!D36</f>
        <v>8.8070304863611266</v>
      </c>
      <c r="E8" s="252">
        <f>'P&amp;L'!E36</f>
        <v>11.155324114054206</v>
      </c>
      <c r="F8" s="252">
        <f>'P&amp;L'!F36</f>
        <v>13.790417500295709</v>
      </c>
      <c r="G8" s="252">
        <f>'P&amp;L'!G36</f>
        <v>16.793967418170929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="70" zoomScaleNormal="100" zoomScaleSheetLayoutView="70" workbookViewId="0">
      <selection activeCell="K48" sqref="A1:K48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34" t="s">
        <v>590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x14ac:dyDescent="0.25">
      <c r="A2" s="255" t="s">
        <v>591</v>
      </c>
      <c r="B2" s="255" t="s">
        <v>592</v>
      </c>
      <c r="C2" s="255" t="s">
        <v>593</v>
      </c>
      <c r="D2" s="255" t="s">
        <v>594</v>
      </c>
      <c r="E2" s="255" t="s">
        <v>595</v>
      </c>
      <c r="F2" s="255" t="s">
        <v>596</v>
      </c>
      <c r="G2" s="255" t="s">
        <v>605</v>
      </c>
      <c r="H2" s="255" t="s">
        <v>606</v>
      </c>
      <c r="I2" s="255" t="s">
        <v>607</v>
      </c>
      <c r="J2" s="255" t="s">
        <v>608</v>
      </c>
      <c r="K2" s="255" t="s">
        <v>609</v>
      </c>
    </row>
    <row r="3" spans="1:11" x14ac:dyDescent="0.25">
      <c r="A3" s="256" t="str">
        <f>+'P&amp;L'!A5</f>
        <v xml:space="preserve">Revenue from Sale </v>
      </c>
      <c r="B3" s="269">
        <f>+'P&amp;L'!B5*1.1</f>
        <v>606.25400000000002</v>
      </c>
      <c r="C3" s="269">
        <f>+'P&amp;L'!C5*1.1</f>
        <v>740.40120000000002</v>
      </c>
      <c r="D3" s="269">
        <f>+'P&amp;L'!D5*1.1</f>
        <v>865.15616000000011</v>
      </c>
      <c r="E3" s="269">
        <f>+'P&amp;L'!E5*1.1</f>
        <v>998.7512700000002</v>
      </c>
      <c r="F3" s="269">
        <f>+'P&amp;L'!F5*1.1</f>
        <v>1143.5770500000003</v>
      </c>
      <c r="G3" s="269">
        <f>+'P&amp;L'!G5*1.1</f>
        <v>1301.5282500000001</v>
      </c>
      <c r="H3" s="269">
        <f>+'P&amp;L'!H5*1.1</f>
        <v>1472.77548</v>
      </c>
      <c r="I3" s="269">
        <f>+'P&amp;L'!I5*1.1</f>
        <v>1656.9105300000001</v>
      </c>
      <c r="J3" s="269">
        <f>+'P&amp;L'!J5*1.1</f>
        <v>1744.6784299999999</v>
      </c>
      <c r="K3" s="269">
        <f>+'P&amp;L'!K5*1.1</f>
        <v>1948.2929400000003</v>
      </c>
    </row>
    <row r="4" spans="1:11" x14ac:dyDescent="0.25">
      <c r="A4" s="256" t="str">
        <f>+'P&amp;L'!A6</f>
        <v>Revenue- Service Charges for Rice Polishing</v>
      </c>
      <c r="B4" s="269">
        <f>+'P&amp;L'!B6*1.1</f>
        <v>2.64</v>
      </c>
      <c r="C4" s="269">
        <f>+'P&amp;L'!C6</f>
        <v>2.835</v>
      </c>
      <c r="D4" s="269">
        <f>+'P&amp;L'!D6</f>
        <v>3.3149999999999999</v>
      </c>
      <c r="E4" s="269">
        <f>+'P&amp;L'!E6</f>
        <v>3.8280000000000007</v>
      </c>
      <c r="F4" s="269">
        <f>+'P&amp;L'!F6</f>
        <v>4.3920000000000003</v>
      </c>
      <c r="G4" s="269">
        <f>+'P&amp;L'!G6</f>
        <v>4.992</v>
      </c>
      <c r="H4" s="269">
        <f>+'P&amp;L'!H6</f>
        <v>5.649</v>
      </c>
      <c r="I4" s="269">
        <f>+'P&amp;L'!I6</f>
        <v>6.3449999999999998</v>
      </c>
      <c r="J4" s="269">
        <f>+'P&amp;L'!J6</f>
        <v>6.66</v>
      </c>
      <c r="K4" s="269">
        <f>+'P&amp;L'!K6*1.1</f>
        <v>8.2104000000000017</v>
      </c>
    </row>
    <row r="5" spans="1:11" x14ac:dyDescent="0.25">
      <c r="A5" s="256" t="s">
        <v>611</v>
      </c>
      <c r="B5" s="257">
        <f>+'P&amp;L'!B12-'P&amp;L'!B11</f>
        <v>24.26</v>
      </c>
      <c r="C5" s="257">
        <f>+'P&amp;L'!C12-'P&amp;L'!C11</f>
        <v>4.1004999999999967</v>
      </c>
      <c r="D5" s="257">
        <f>+'P&amp;L'!D12-'P&amp;L'!D11</f>
        <v>4.1772000000000027</v>
      </c>
      <c r="E5" s="257">
        <f>+'P&amp;L'!E12-'P&amp;L'!E11</f>
        <v>5.1022999999999996</v>
      </c>
      <c r="F5" s="257">
        <f>+'P&amp;L'!F12-'P&amp;L'!F11</f>
        <v>5.9756</v>
      </c>
      <c r="G5" s="257">
        <f>+'P&amp;L'!G12-'P&amp;L'!G11</f>
        <v>6.0106999999999928</v>
      </c>
      <c r="H5" s="257">
        <f>+'P&amp;L'!H12-'P&amp;L'!H11</f>
        <v>6.5013000000000076</v>
      </c>
      <c r="I5" s="257">
        <f>+'P&amp;L'!I12-'P&amp;L'!I11</f>
        <v>7.0276000000000067</v>
      </c>
      <c r="J5" s="257">
        <f>+'P&amp;L'!J12-'P&amp;L'!J11</f>
        <v>3.1594999999999942</v>
      </c>
      <c r="K5" s="257">
        <f>+'P&amp;L'!K12-'P&amp;L'!K11</f>
        <v>8.1837000000000018</v>
      </c>
    </row>
    <row r="6" spans="1:11" x14ac:dyDescent="0.25">
      <c r="A6" s="255" t="s">
        <v>597</v>
      </c>
      <c r="B6" s="258">
        <f>SUM(B3:B5)</f>
        <v>633.154</v>
      </c>
      <c r="C6" s="258">
        <f>SUM(C3:C5)</f>
        <v>747.33670000000006</v>
      </c>
      <c r="D6" s="258">
        <f>SUM(D3:D5)</f>
        <v>872.64836000000014</v>
      </c>
      <c r="E6" s="258">
        <f>SUM(E3:E5)</f>
        <v>1007.6815700000002</v>
      </c>
      <c r="F6" s="258">
        <f>SUM(F3:F5)</f>
        <v>1153.9446500000004</v>
      </c>
      <c r="G6" s="258">
        <f t="shared" ref="G6:K6" si="0">SUM(G3:G5)</f>
        <v>1312.5309500000001</v>
      </c>
      <c r="H6" s="258">
        <f t="shared" si="0"/>
        <v>1484.9257799999998</v>
      </c>
      <c r="I6" s="258">
        <f t="shared" si="0"/>
        <v>1670.2831300000003</v>
      </c>
      <c r="J6" s="258">
        <f t="shared" si="0"/>
        <v>1754.49793</v>
      </c>
      <c r="K6" s="258">
        <f t="shared" si="0"/>
        <v>1964.6870400000003</v>
      </c>
    </row>
    <row r="7" spans="1:11" x14ac:dyDescent="0.25">
      <c r="A7" s="255" t="s">
        <v>598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11" x14ac:dyDescent="0.25">
      <c r="A8" s="263" t="s">
        <v>610</v>
      </c>
      <c r="B8" s="257">
        <f>+'P&amp;L'!B21*1.1</f>
        <v>597.30000000000007</v>
      </c>
      <c r="C8" s="257">
        <f>+'P&amp;L'!C21*1.1</f>
        <v>704.28050000000007</v>
      </c>
      <c r="D8" s="257">
        <f>+'P&amp;L'!D21*1.1</f>
        <v>821.71892000000003</v>
      </c>
      <c r="E8" s="257">
        <f>+'P&amp;L'!E21*1.1</f>
        <v>948.97143000000005</v>
      </c>
      <c r="F8" s="257">
        <f>+'P&amp;L'!F21*1.1</f>
        <v>1087.01142</v>
      </c>
      <c r="G8" s="257">
        <f>+'P&amp;L'!G21*1.1</f>
        <v>1236.46875</v>
      </c>
      <c r="H8" s="257">
        <f>+'P&amp;L'!H21*1.1</f>
        <v>1398.20901</v>
      </c>
      <c r="I8" s="257">
        <f>+'P&amp;L'!I21*1.1</f>
        <v>1572.8994600000001</v>
      </c>
      <c r="J8" s="257">
        <f>+'P&amp;L'!J21*1.1</f>
        <v>1651.2493800000002</v>
      </c>
      <c r="K8" s="257">
        <f>+'P&amp;L'!K21*1.1</f>
        <v>1849.5624400000002</v>
      </c>
    </row>
    <row r="9" spans="1:11" x14ac:dyDescent="0.25">
      <c r="A9" s="256" t="s">
        <v>599</v>
      </c>
      <c r="B9" s="257">
        <f>+'P&amp;L'!B23</f>
        <v>8.1611676000000006</v>
      </c>
      <c r="C9" s="257">
        <f>+'P&amp;L'!C23</f>
        <v>8.5692259800000006</v>
      </c>
      <c r="D9" s="257">
        <f>+'P&amp;L'!D23</f>
        <v>8.9976872790000009</v>
      </c>
      <c r="E9" s="257">
        <f>+'P&amp;L'!E23</f>
        <v>9.4475716429500025</v>
      </c>
      <c r="F9" s="257">
        <f>+'P&amp;L'!F23</f>
        <v>9.9199502250975016</v>
      </c>
      <c r="G9" s="257">
        <f>+'P&amp;L'!G23</f>
        <v>10.415947736352379</v>
      </c>
      <c r="H9" s="257">
        <f>+'P&amp;L'!H23</f>
        <v>10.936745123169995</v>
      </c>
      <c r="I9" s="257">
        <f>+'P&amp;L'!I23</f>
        <v>11.483582379328496</v>
      </c>
      <c r="J9" s="257">
        <f>+'P&amp;L'!J23</f>
        <v>12.057761498294921</v>
      </c>
      <c r="K9" s="257">
        <f>+'P&amp;L'!K23</f>
        <v>12.660649573209669</v>
      </c>
    </row>
    <row r="10" spans="1:11" x14ac:dyDescent="0.25">
      <c r="A10" s="256" t="s">
        <v>343</v>
      </c>
      <c r="B10" s="257">
        <f>+'P&amp;L'!B25</f>
        <v>16.2988</v>
      </c>
      <c r="C10" s="257">
        <f>+'P&amp;L'!C25</f>
        <v>18.916240000000002</v>
      </c>
      <c r="D10" s="257">
        <f>+'P&amp;L'!D25</f>
        <v>21.41</v>
      </c>
      <c r="E10" s="257">
        <f>+'P&amp;L'!E25</f>
        <v>24.111440000000005</v>
      </c>
      <c r="F10" s="257">
        <f>+'P&amp;L'!F25</f>
        <v>26.770199999999996</v>
      </c>
      <c r="G10" s="257">
        <f>+'P&amp;L'!G25</f>
        <v>29.663640000000004</v>
      </c>
      <c r="H10" s="257">
        <f>+'P&amp;L'!H25</f>
        <v>32.505400000000002</v>
      </c>
      <c r="I10" s="257">
        <f>+'P&amp;L'!I25</f>
        <v>34.89584</v>
      </c>
      <c r="J10" s="257">
        <f>+'P&amp;L'!J25</f>
        <v>34.91384</v>
      </c>
      <c r="K10" s="257">
        <f>+'P&amp;L'!K25</f>
        <v>37.132599999999996</v>
      </c>
    </row>
    <row r="11" spans="1:11" x14ac:dyDescent="0.25">
      <c r="A11" s="255" t="s">
        <v>600</v>
      </c>
      <c r="B11" s="258">
        <f>SUM(B8:B10)</f>
        <v>621.7599676000001</v>
      </c>
      <c r="C11" s="258">
        <f t="shared" ref="C11:K11" si="1">SUM(C8:C10)</f>
        <v>731.76596598000015</v>
      </c>
      <c r="D11" s="258">
        <f t="shared" si="1"/>
        <v>852.12660727900004</v>
      </c>
      <c r="E11" s="258">
        <f t="shared" si="1"/>
        <v>982.53044164295011</v>
      </c>
      <c r="F11" s="258">
        <f t="shared" si="1"/>
        <v>1123.7015702250974</v>
      </c>
      <c r="G11" s="258">
        <f t="shared" si="1"/>
        <v>1276.5483377363523</v>
      </c>
      <c r="H11" s="258">
        <f t="shared" si="1"/>
        <v>1441.6511551231699</v>
      </c>
      <c r="I11" s="258">
        <f t="shared" si="1"/>
        <v>1619.2788823793285</v>
      </c>
      <c r="J11" s="258">
        <f t="shared" si="1"/>
        <v>1698.220981498295</v>
      </c>
      <c r="K11" s="258">
        <f t="shared" si="1"/>
        <v>1899.3556895732097</v>
      </c>
    </row>
    <row r="12" spans="1:11" x14ac:dyDescent="0.25">
      <c r="A12" s="259" t="s">
        <v>601</v>
      </c>
      <c r="B12" s="260">
        <f>B6-B11</f>
        <v>11.394032399999901</v>
      </c>
      <c r="C12" s="260">
        <f>C6-C11</f>
        <v>15.570734019999918</v>
      </c>
      <c r="D12" s="260">
        <f>D6-D11</f>
        <v>20.521752721000098</v>
      </c>
      <c r="E12" s="260">
        <f>E6-E11</f>
        <v>25.151128357050084</v>
      </c>
      <c r="F12" s="260">
        <f>F6-F11</f>
        <v>30.243079774902981</v>
      </c>
      <c r="G12" s="260">
        <f t="shared" ref="G12:K12" si="2">G6-G11</f>
        <v>35.982612263647752</v>
      </c>
      <c r="H12" s="260">
        <f t="shared" si="2"/>
        <v>43.274624876829876</v>
      </c>
      <c r="I12" s="260">
        <f t="shared" si="2"/>
        <v>51.004247620671777</v>
      </c>
      <c r="J12" s="260">
        <f t="shared" si="2"/>
        <v>56.276948501704965</v>
      </c>
      <c r="K12" s="260">
        <f t="shared" si="2"/>
        <v>65.33135042679055</v>
      </c>
    </row>
    <row r="13" spans="1:11" x14ac:dyDescent="0.25">
      <c r="A13" s="261"/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x14ac:dyDescent="0.25">
      <c r="A14" s="255" t="s">
        <v>602</v>
      </c>
      <c r="B14" s="258" t="s">
        <v>592</v>
      </c>
      <c r="C14" s="258" t="s">
        <v>593</v>
      </c>
      <c r="D14" s="258" t="s">
        <v>594</v>
      </c>
      <c r="E14" s="258" t="s">
        <v>595</v>
      </c>
      <c r="F14" s="258" t="s">
        <v>596</v>
      </c>
      <c r="G14" s="258" t="s">
        <v>596</v>
      </c>
      <c r="H14" s="258" t="s">
        <v>596</v>
      </c>
      <c r="I14" s="258" t="s">
        <v>596</v>
      </c>
      <c r="J14" s="258" t="s">
        <v>596</v>
      </c>
      <c r="K14" s="258" t="s">
        <v>596</v>
      </c>
    </row>
    <row r="15" spans="1:11" x14ac:dyDescent="0.25">
      <c r="A15" s="256" t="str">
        <f>+A3</f>
        <v xml:space="preserve">Revenue from Sale </v>
      </c>
      <c r="B15" s="257">
        <f>+'P&amp;L'!B5</f>
        <v>551.14</v>
      </c>
      <c r="C15" s="257">
        <f>+'P&amp;L'!C5</f>
        <v>673.09199999999998</v>
      </c>
      <c r="D15" s="257">
        <f>+'P&amp;L'!D5</f>
        <v>786.50560000000007</v>
      </c>
      <c r="E15" s="257">
        <f>+'P&amp;L'!E5</f>
        <v>907.95570000000009</v>
      </c>
      <c r="F15" s="257">
        <f>+'P&amp;L'!F5</f>
        <v>1039.6155000000001</v>
      </c>
      <c r="G15" s="257">
        <f>+'P&amp;L'!G5</f>
        <v>1183.2075</v>
      </c>
      <c r="H15" s="257">
        <f>+'P&amp;L'!H5</f>
        <v>1338.8868</v>
      </c>
      <c r="I15" s="257">
        <f>+'P&amp;L'!I5</f>
        <v>1506.2823000000001</v>
      </c>
      <c r="J15" s="257">
        <f>+'P&amp;L'!J5</f>
        <v>1586.0712999999998</v>
      </c>
      <c r="K15" s="257">
        <f>+'P&amp;L'!K5</f>
        <v>1771.1754000000001</v>
      </c>
    </row>
    <row r="16" spans="1:11" x14ac:dyDescent="0.25">
      <c r="A16" s="256" t="str">
        <f>+A4</f>
        <v>Revenue- Service Charges for Rice Polishing</v>
      </c>
      <c r="B16" s="257">
        <f>+'P&amp;L'!B6</f>
        <v>2.4</v>
      </c>
      <c r="C16" s="257">
        <f>+'P&amp;L'!C6</f>
        <v>2.835</v>
      </c>
      <c r="D16" s="257">
        <f>+'P&amp;L'!D6</f>
        <v>3.3149999999999999</v>
      </c>
      <c r="E16" s="257">
        <f>+'P&amp;L'!E6</f>
        <v>3.8280000000000007</v>
      </c>
      <c r="F16" s="257">
        <f>+'P&amp;L'!F6</f>
        <v>4.3920000000000003</v>
      </c>
      <c r="G16" s="257">
        <f>+'P&amp;L'!G6</f>
        <v>4.992</v>
      </c>
      <c r="H16" s="257">
        <f>+'P&amp;L'!H6</f>
        <v>5.649</v>
      </c>
      <c r="I16" s="257">
        <f>+'P&amp;L'!I6</f>
        <v>6.3449999999999998</v>
      </c>
      <c r="J16" s="257">
        <f>+'P&amp;L'!J6</f>
        <v>6.66</v>
      </c>
      <c r="K16" s="257">
        <f>+'P&amp;L'!K6</f>
        <v>7.4640000000000004</v>
      </c>
    </row>
    <row r="17" spans="1:11" x14ac:dyDescent="0.25">
      <c r="A17" s="256" t="str">
        <f>+A5</f>
        <v>Change in Closing Stock of FG</v>
      </c>
      <c r="B17" s="257">
        <f>+'P&amp;L'!B12-'P&amp;L'!B11</f>
        <v>24.26</v>
      </c>
      <c r="C17" s="257">
        <f>+'P&amp;L'!C12-'P&amp;L'!C11</f>
        <v>4.1004999999999967</v>
      </c>
      <c r="D17" s="257">
        <f>+'P&amp;L'!D12-'P&amp;L'!D11</f>
        <v>4.1772000000000027</v>
      </c>
      <c r="E17" s="257">
        <f>+'P&amp;L'!E12-'P&amp;L'!E11</f>
        <v>5.1022999999999996</v>
      </c>
      <c r="F17" s="257">
        <f>+'P&amp;L'!F12-'P&amp;L'!F11</f>
        <v>5.9756</v>
      </c>
      <c r="G17" s="257">
        <f>+'P&amp;L'!G12-'P&amp;L'!G11</f>
        <v>6.0106999999999928</v>
      </c>
      <c r="H17" s="257">
        <f>+'P&amp;L'!H12-'P&amp;L'!H11</f>
        <v>6.5013000000000076</v>
      </c>
      <c r="I17" s="257">
        <f>+'P&amp;L'!I12-'P&amp;L'!I11</f>
        <v>7.0276000000000067</v>
      </c>
      <c r="J17" s="257">
        <f>+'P&amp;L'!J12-'P&amp;L'!J11</f>
        <v>3.1594999999999942</v>
      </c>
      <c r="K17" s="257">
        <f>+'P&amp;L'!K12-'P&amp;L'!K11</f>
        <v>8.1837000000000018</v>
      </c>
    </row>
    <row r="18" spans="1:11" x14ac:dyDescent="0.25">
      <c r="A18" s="255" t="s">
        <v>597</v>
      </c>
      <c r="B18" s="258">
        <f>SUM(B15:B17)</f>
        <v>577.79999999999995</v>
      </c>
      <c r="C18" s="258">
        <f>SUM(C15:C17)</f>
        <v>680.02750000000003</v>
      </c>
      <c r="D18" s="258">
        <f>SUM(D15:D17)</f>
        <v>793.9978000000001</v>
      </c>
      <c r="E18" s="258">
        <f>SUM(E15:E17)</f>
        <v>916.88600000000008</v>
      </c>
      <c r="F18" s="258">
        <f>SUM(F15:F17)</f>
        <v>1049.9831000000001</v>
      </c>
      <c r="G18" s="258">
        <f t="shared" ref="G18:K18" si="3">SUM(G15:G17)</f>
        <v>1194.2102</v>
      </c>
      <c r="H18" s="258">
        <f t="shared" si="3"/>
        <v>1351.0370999999998</v>
      </c>
      <c r="I18" s="258">
        <f t="shared" si="3"/>
        <v>1519.6549</v>
      </c>
      <c r="J18" s="258">
        <f t="shared" si="3"/>
        <v>1595.8907999999999</v>
      </c>
      <c r="K18" s="258">
        <f t="shared" si="3"/>
        <v>1786.8231000000001</v>
      </c>
    </row>
    <row r="19" spans="1:11" x14ac:dyDescent="0.25">
      <c r="A19" s="255" t="s">
        <v>598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</row>
    <row r="20" spans="1:11" x14ac:dyDescent="0.25">
      <c r="A20" s="263" t="s">
        <v>610</v>
      </c>
      <c r="B20" s="257">
        <f>+'P&amp;L'!B21*1.1</f>
        <v>597.30000000000007</v>
      </c>
      <c r="C20" s="257">
        <f>+'P&amp;L'!C21*1.1</f>
        <v>704.28050000000007</v>
      </c>
      <c r="D20" s="257">
        <f>+'P&amp;L'!D21*1.1</f>
        <v>821.71892000000003</v>
      </c>
      <c r="E20" s="257">
        <f>+'P&amp;L'!E21*1.1</f>
        <v>948.97143000000005</v>
      </c>
      <c r="F20" s="257">
        <f>+'P&amp;L'!F21*1.1</f>
        <v>1087.01142</v>
      </c>
      <c r="G20" s="257">
        <f>+'P&amp;L'!G21*1.1</f>
        <v>1236.46875</v>
      </c>
      <c r="H20" s="257">
        <f>+'P&amp;L'!H21*1.1</f>
        <v>1398.20901</v>
      </c>
      <c r="I20" s="257">
        <f>+'P&amp;L'!I21*1.1</f>
        <v>1572.8994600000001</v>
      </c>
      <c r="J20" s="257">
        <f>+'P&amp;L'!J21*1.1</f>
        <v>1651.2493800000002</v>
      </c>
      <c r="K20" s="257">
        <f>+'P&amp;L'!K21*1.1</f>
        <v>1849.5624400000002</v>
      </c>
    </row>
    <row r="21" spans="1:11" x14ac:dyDescent="0.25">
      <c r="A21" s="256" t="s">
        <v>599</v>
      </c>
      <c r="B21" s="257">
        <f>+'P&amp;L'!B23*1.1</f>
        <v>8.9772843600000023</v>
      </c>
      <c r="C21" s="257">
        <f>+'P&amp;L'!C23*1.1</f>
        <v>9.4261485780000012</v>
      </c>
      <c r="D21" s="257">
        <f>+'P&amp;L'!D23*1.1</f>
        <v>9.8974560069000024</v>
      </c>
      <c r="E21" s="257">
        <f>+'P&amp;L'!E23*1.1</f>
        <v>10.392328807245004</v>
      </c>
      <c r="F21" s="257">
        <f>+'P&amp;L'!F23*1.1</f>
        <v>10.911945247607253</v>
      </c>
      <c r="G21" s="257">
        <f>+'P&amp;L'!G23*1.1</f>
        <v>11.457542509987618</v>
      </c>
      <c r="H21" s="257">
        <f>+'P&amp;L'!H23*1.1</f>
        <v>12.030419635486997</v>
      </c>
      <c r="I21" s="257">
        <f>+'P&amp;L'!I23*1.1</f>
        <v>12.631940617261346</v>
      </c>
      <c r="J21" s="257">
        <f>+'P&amp;L'!J23*1.1</f>
        <v>13.263537648124414</v>
      </c>
      <c r="K21" s="257">
        <f>+'P&amp;L'!K23*1.1</f>
        <v>13.926714530530637</v>
      </c>
    </row>
    <row r="22" spans="1:11" x14ac:dyDescent="0.25">
      <c r="A22" s="256" t="s">
        <v>343</v>
      </c>
      <c r="B22" s="257">
        <f>+'P&amp;L'!B25*1.1</f>
        <v>17.92868</v>
      </c>
      <c r="C22" s="257">
        <f>+'P&amp;L'!C25*1.1</f>
        <v>20.807864000000002</v>
      </c>
      <c r="D22" s="257">
        <f>+'P&amp;L'!D25*1.1</f>
        <v>23.551000000000002</v>
      </c>
      <c r="E22" s="257">
        <f>+'P&amp;L'!E25*1.1</f>
        <v>26.522584000000009</v>
      </c>
      <c r="F22" s="257">
        <f>+'P&amp;L'!F25*1.1</f>
        <v>29.447219999999998</v>
      </c>
      <c r="G22" s="257">
        <f>+'P&amp;L'!G25*1.1</f>
        <v>32.630004000000007</v>
      </c>
      <c r="H22" s="257">
        <f>+'P&amp;L'!H25*1.1</f>
        <v>35.755940000000002</v>
      </c>
      <c r="I22" s="257">
        <f>+'P&amp;L'!I25*1.1</f>
        <v>38.385424</v>
      </c>
      <c r="J22" s="257">
        <f>+'P&amp;L'!J25*1.1</f>
        <v>38.405224000000004</v>
      </c>
      <c r="K22" s="257">
        <f>+'P&amp;L'!K25*1.1</f>
        <v>40.845860000000002</v>
      </c>
    </row>
    <row r="23" spans="1:11" x14ac:dyDescent="0.25">
      <c r="A23" s="255" t="s">
        <v>600</v>
      </c>
      <c r="B23" s="258">
        <f>SUM(B20:B22)</f>
        <v>624.20596436000005</v>
      </c>
      <c r="C23" s="258">
        <f t="shared" ref="C23:K23" si="4">SUM(C20:C22)</f>
        <v>734.51451257800011</v>
      </c>
      <c r="D23" s="258">
        <f t="shared" si="4"/>
        <v>855.1673760069001</v>
      </c>
      <c r="E23" s="258">
        <f t="shared" si="4"/>
        <v>985.88634280724511</v>
      </c>
      <c r="F23" s="258">
        <f t="shared" si="4"/>
        <v>1127.3705852476073</v>
      </c>
      <c r="G23" s="258">
        <f t="shared" si="4"/>
        <v>1280.5562965099878</v>
      </c>
      <c r="H23" s="258">
        <f t="shared" si="4"/>
        <v>1445.9953696354871</v>
      </c>
      <c r="I23" s="258">
        <f t="shared" si="4"/>
        <v>1623.9168246172615</v>
      </c>
      <c r="J23" s="258">
        <f t="shared" si="4"/>
        <v>1702.9181416481247</v>
      </c>
      <c r="K23" s="258">
        <f t="shared" si="4"/>
        <v>1904.3350145305308</v>
      </c>
    </row>
    <row r="24" spans="1:11" x14ac:dyDescent="0.25">
      <c r="A24" s="259" t="s">
        <v>601</v>
      </c>
      <c r="B24" s="260">
        <f>B18-B23</f>
        <v>-46.405964360000098</v>
      </c>
      <c r="C24" s="260">
        <f>C18-C23</f>
        <v>-54.487012578000076</v>
      </c>
      <c r="D24" s="260">
        <f>D18-D23</f>
        <v>-61.169576006900002</v>
      </c>
      <c r="E24" s="260">
        <f>E18-E23</f>
        <v>-69.000342807245033</v>
      </c>
      <c r="F24" s="260">
        <f>F18-F23</f>
        <v>-77.387485247607174</v>
      </c>
      <c r="G24" s="260">
        <f t="shared" ref="G24:K24" si="5">G18-G23</f>
        <v>-86.346096509987774</v>
      </c>
      <c r="H24" s="260">
        <f t="shared" si="5"/>
        <v>-94.958269635487341</v>
      </c>
      <c r="I24" s="260">
        <f t="shared" si="5"/>
        <v>-104.26192461726146</v>
      </c>
      <c r="J24" s="260">
        <f t="shared" si="5"/>
        <v>-107.02734164812478</v>
      </c>
      <c r="K24" s="260">
        <f t="shared" si="5"/>
        <v>-117.5119145305307</v>
      </c>
    </row>
    <row r="25" spans="1:1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</row>
    <row r="26" spans="1:11" x14ac:dyDescent="0.25">
      <c r="A26" s="255" t="s">
        <v>603</v>
      </c>
      <c r="B26" s="258" t="s">
        <v>592</v>
      </c>
      <c r="C26" s="258" t="s">
        <v>593</v>
      </c>
      <c r="D26" s="258" t="s">
        <v>594</v>
      </c>
      <c r="E26" s="258" t="s">
        <v>595</v>
      </c>
      <c r="F26" s="258" t="s">
        <v>596</v>
      </c>
      <c r="G26" s="258" t="s">
        <v>596</v>
      </c>
      <c r="H26" s="258" t="s">
        <v>596</v>
      </c>
      <c r="I26" s="258" t="s">
        <v>596</v>
      </c>
      <c r="J26" s="258" t="s">
        <v>596</v>
      </c>
      <c r="K26" s="258" t="s">
        <v>596</v>
      </c>
    </row>
    <row r="27" spans="1:11" x14ac:dyDescent="0.25">
      <c r="A27" s="256" t="str">
        <f>+A15</f>
        <v xml:space="preserve">Revenue from Sale </v>
      </c>
      <c r="B27" s="257">
        <f>+'P&amp;L'!B5*0.9</f>
        <v>496.02600000000001</v>
      </c>
      <c r="C27" s="257">
        <f>+'P&amp;L'!C5*0.9</f>
        <v>605.78279999999995</v>
      </c>
      <c r="D27" s="257">
        <f>+'P&amp;L'!D5*0.9</f>
        <v>707.85504000000003</v>
      </c>
      <c r="E27" s="257">
        <f>+'P&amp;L'!E5*0.9</f>
        <v>817.16013000000009</v>
      </c>
      <c r="F27" s="257">
        <f>+'P&amp;L'!F5*0.9</f>
        <v>935.65395000000012</v>
      </c>
      <c r="G27" s="257">
        <f>+'P&amp;L'!G5*0.9</f>
        <v>1064.8867500000001</v>
      </c>
      <c r="H27" s="257">
        <f>+'P&amp;L'!H5*0.9</f>
        <v>1204.99812</v>
      </c>
      <c r="I27" s="257">
        <f>+'P&amp;L'!I5*0.9</f>
        <v>1355.65407</v>
      </c>
      <c r="J27" s="257">
        <f>+'P&amp;L'!J5*0.9</f>
        <v>1427.46417</v>
      </c>
      <c r="K27" s="257">
        <f>+'P&amp;L'!K5*0.9</f>
        <v>1594.0578600000001</v>
      </c>
    </row>
    <row r="28" spans="1:11" x14ac:dyDescent="0.25">
      <c r="A28" s="256" t="str">
        <f>+A16</f>
        <v>Revenue- Service Charges for Rice Polishing</v>
      </c>
      <c r="B28" s="257">
        <f>+'P&amp;L'!B6*0.9</f>
        <v>2.16</v>
      </c>
      <c r="C28" s="257">
        <f>+'P&amp;L'!C6*0.9</f>
        <v>2.5514999999999999</v>
      </c>
      <c r="D28" s="257">
        <f>+'P&amp;L'!D6*0.9</f>
        <v>2.9834999999999998</v>
      </c>
      <c r="E28" s="257">
        <f>+'P&amp;L'!E6*0.9</f>
        <v>3.4452000000000007</v>
      </c>
      <c r="F28" s="257">
        <f>+'P&amp;L'!F6*0.9</f>
        <v>3.9528000000000003</v>
      </c>
      <c r="G28" s="257">
        <f>+'P&amp;L'!G6*0.9</f>
        <v>4.4927999999999999</v>
      </c>
      <c r="H28" s="257">
        <f>+'P&amp;L'!H6*0.9</f>
        <v>5.0841000000000003</v>
      </c>
      <c r="I28" s="257">
        <f>+'P&amp;L'!I6*0.9</f>
        <v>5.7104999999999997</v>
      </c>
      <c r="J28" s="257">
        <f>+'P&amp;L'!J6*0.9</f>
        <v>5.9940000000000007</v>
      </c>
      <c r="K28" s="257">
        <f>+'P&amp;L'!K6*0.9</f>
        <v>6.7176000000000009</v>
      </c>
    </row>
    <row r="29" spans="1:11" x14ac:dyDescent="0.25">
      <c r="A29" s="256" t="str">
        <f>+A17</f>
        <v>Change in Closing Stock of FG</v>
      </c>
      <c r="B29" s="257">
        <f>+'P&amp;L'!B12-'P&amp;L'!B11</f>
        <v>24.26</v>
      </c>
      <c r="C29" s="257">
        <f>+'P&amp;L'!C12-'P&amp;L'!C11</f>
        <v>4.1004999999999967</v>
      </c>
      <c r="D29" s="257">
        <f>+'P&amp;L'!D12-'P&amp;L'!D11</f>
        <v>4.1772000000000027</v>
      </c>
      <c r="E29" s="257">
        <f>+'P&amp;L'!E12-'P&amp;L'!E11</f>
        <v>5.1022999999999996</v>
      </c>
      <c r="F29" s="257">
        <f>+'P&amp;L'!F12-'P&amp;L'!F11</f>
        <v>5.9756</v>
      </c>
      <c r="G29" s="257">
        <f>+'P&amp;L'!G12-'P&amp;L'!G11</f>
        <v>6.0106999999999928</v>
      </c>
      <c r="H29" s="257">
        <f>+'P&amp;L'!H12-'P&amp;L'!H11</f>
        <v>6.5013000000000076</v>
      </c>
      <c r="I29" s="257">
        <f>+'P&amp;L'!I12-'P&amp;L'!I11</f>
        <v>7.0276000000000067</v>
      </c>
      <c r="J29" s="257">
        <f>+'P&amp;L'!J12-'P&amp;L'!J11</f>
        <v>3.1594999999999942</v>
      </c>
      <c r="K29" s="257">
        <f>+'P&amp;L'!K12-'P&amp;L'!K11</f>
        <v>8.1837000000000018</v>
      </c>
    </row>
    <row r="30" spans="1:11" x14ac:dyDescent="0.25">
      <c r="A30" s="255" t="s">
        <v>597</v>
      </c>
      <c r="B30" s="258">
        <f>SUM(B27:B29)</f>
        <v>522.44600000000003</v>
      </c>
      <c r="C30" s="258">
        <f>SUM(C27:C29)</f>
        <v>612.4348</v>
      </c>
      <c r="D30" s="258">
        <f>SUM(D27:D29)</f>
        <v>715.01574000000005</v>
      </c>
      <c r="E30" s="258">
        <f>SUM(E27:E29)</f>
        <v>825.70763000000011</v>
      </c>
      <c r="F30" s="258">
        <f>SUM(F27:F29)</f>
        <v>945.58235000000013</v>
      </c>
      <c r="G30" s="258">
        <f t="shared" ref="G30:K30" si="6">SUM(G27:G29)</f>
        <v>1075.3902500000002</v>
      </c>
      <c r="H30" s="258">
        <f t="shared" si="6"/>
        <v>1216.5835199999999</v>
      </c>
      <c r="I30" s="258">
        <f t="shared" si="6"/>
        <v>1368.3921700000001</v>
      </c>
      <c r="J30" s="258">
        <f t="shared" si="6"/>
        <v>1436.6176699999999</v>
      </c>
      <c r="K30" s="258">
        <f t="shared" si="6"/>
        <v>1608.9591600000001</v>
      </c>
    </row>
    <row r="31" spans="1:11" x14ac:dyDescent="0.25">
      <c r="A31" s="255" t="s">
        <v>598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x14ac:dyDescent="0.25">
      <c r="A32" s="263" t="s">
        <v>610</v>
      </c>
      <c r="B32" s="257">
        <f>+'P&amp;L'!B21*0.9</f>
        <v>488.7</v>
      </c>
      <c r="C32" s="257">
        <f>+'P&amp;L'!C21*0.9</f>
        <v>576.22950000000003</v>
      </c>
      <c r="D32" s="257">
        <f>+'P&amp;L'!D21*0.9</f>
        <v>672.31547999999998</v>
      </c>
      <c r="E32" s="257">
        <f>+'P&amp;L'!E21*0.9</f>
        <v>776.43116999999995</v>
      </c>
      <c r="F32" s="257">
        <f>+'P&amp;L'!F21*0.9</f>
        <v>889.37297999999998</v>
      </c>
      <c r="G32" s="257">
        <f>+'P&amp;L'!G21*0.9</f>
        <v>1011.65625</v>
      </c>
      <c r="H32" s="257">
        <f>+'P&amp;L'!H21*0.9</f>
        <v>1143.98919</v>
      </c>
      <c r="I32" s="257">
        <f>+'P&amp;L'!I21*0.9</f>
        <v>1286.9177400000001</v>
      </c>
      <c r="J32" s="257">
        <f>+'P&amp;L'!J21*0.9</f>
        <v>1351.0222200000001</v>
      </c>
      <c r="K32" s="257">
        <f>+'P&amp;L'!K21*0.9</f>
        <v>1513.27836</v>
      </c>
    </row>
    <row r="33" spans="1:11" x14ac:dyDescent="0.25">
      <c r="A33" s="256" t="s">
        <v>599</v>
      </c>
      <c r="B33" s="257">
        <f>+'P&amp;L'!B23</f>
        <v>8.1611676000000006</v>
      </c>
      <c r="C33" s="257">
        <f>+'P&amp;L'!C23</f>
        <v>8.5692259800000006</v>
      </c>
      <c r="D33" s="257">
        <f>+'P&amp;L'!D23</f>
        <v>8.9976872790000009</v>
      </c>
      <c r="E33" s="257">
        <f>+'P&amp;L'!E23</f>
        <v>9.4475716429500025</v>
      </c>
      <c r="F33" s="257">
        <f>+'P&amp;L'!F23</f>
        <v>9.9199502250975016</v>
      </c>
      <c r="G33" s="257">
        <f>+'P&amp;L'!G23</f>
        <v>10.415947736352379</v>
      </c>
      <c r="H33" s="257">
        <f>+'P&amp;L'!H23</f>
        <v>10.936745123169995</v>
      </c>
      <c r="I33" s="257">
        <f>+'P&amp;L'!I23</f>
        <v>11.483582379328496</v>
      </c>
      <c r="J33" s="257">
        <f>+'P&amp;L'!J23</f>
        <v>12.057761498294921</v>
      </c>
      <c r="K33" s="257">
        <f>+'P&amp;L'!K23</f>
        <v>12.660649573209669</v>
      </c>
    </row>
    <row r="34" spans="1:11" x14ac:dyDescent="0.25">
      <c r="A34" s="256" t="s">
        <v>343</v>
      </c>
      <c r="B34" s="257">
        <f>+'P&amp;L'!B25</f>
        <v>16.2988</v>
      </c>
      <c r="C34" s="257">
        <f>+'P&amp;L'!C25</f>
        <v>18.916240000000002</v>
      </c>
      <c r="D34" s="257">
        <f>+'P&amp;L'!D25</f>
        <v>21.41</v>
      </c>
      <c r="E34" s="257">
        <f>+'P&amp;L'!E25</f>
        <v>24.111440000000005</v>
      </c>
      <c r="F34" s="257">
        <f>+'P&amp;L'!F25</f>
        <v>26.770199999999996</v>
      </c>
      <c r="G34" s="257">
        <f>+'P&amp;L'!G25</f>
        <v>29.663640000000004</v>
      </c>
      <c r="H34" s="257">
        <f>+'P&amp;L'!H25</f>
        <v>32.505400000000002</v>
      </c>
      <c r="I34" s="257">
        <f>+'P&amp;L'!I25</f>
        <v>34.89584</v>
      </c>
      <c r="J34" s="257">
        <f>+'P&amp;L'!J25</f>
        <v>34.91384</v>
      </c>
      <c r="K34" s="257">
        <f>+'P&amp;L'!K25</f>
        <v>37.132599999999996</v>
      </c>
    </row>
    <row r="35" spans="1:11" x14ac:dyDescent="0.25">
      <c r="A35" s="255" t="s">
        <v>600</v>
      </c>
      <c r="B35" s="258">
        <f>SUM(B32:B34)</f>
        <v>513.15996759999996</v>
      </c>
      <c r="C35" s="258">
        <f t="shared" ref="C35:K35" si="7">SUM(C32:C34)</f>
        <v>603.7149659800001</v>
      </c>
      <c r="D35" s="258">
        <f t="shared" si="7"/>
        <v>702.72316727899999</v>
      </c>
      <c r="E35" s="258">
        <f t="shared" si="7"/>
        <v>809.99018164295001</v>
      </c>
      <c r="F35" s="258">
        <f t="shared" si="7"/>
        <v>926.06313022509755</v>
      </c>
      <c r="G35" s="258">
        <f t="shared" si="7"/>
        <v>1051.7358377363523</v>
      </c>
      <c r="H35" s="258">
        <f t="shared" si="7"/>
        <v>1187.4313351231699</v>
      </c>
      <c r="I35" s="258">
        <f t="shared" si="7"/>
        <v>1333.2971623793285</v>
      </c>
      <c r="J35" s="258">
        <f t="shared" si="7"/>
        <v>1397.9938214982949</v>
      </c>
      <c r="K35" s="258">
        <f t="shared" si="7"/>
        <v>1563.0716095732096</v>
      </c>
    </row>
    <row r="36" spans="1:11" x14ac:dyDescent="0.25">
      <c r="A36" s="259" t="s">
        <v>601</v>
      </c>
      <c r="B36" s="260">
        <f>B30-B35</f>
        <v>9.2860324000000674</v>
      </c>
      <c r="C36" s="260">
        <f>C30-C35</f>
        <v>8.7198340199998938</v>
      </c>
      <c r="D36" s="260">
        <f>D30-D35</f>
        <v>12.292572721000056</v>
      </c>
      <c r="E36" s="260">
        <f>E30-E35</f>
        <v>15.717448357050102</v>
      </c>
      <c r="F36" s="260">
        <f>F30-F35</f>
        <v>19.519219774902581</v>
      </c>
      <c r="G36" s="260">
        <f t="shared" ref="G36:K36" si="8">G30-G35</f>
        <v>23.654412263647828</v>
      </c>
      <c r="H36" s="260">
        <f t="shared" si="8"/>
        <v>29.152184876830006</v>
      </c>
      <c r="I36" s="260">
        <f t="shared" si="8"/>
        <v>35.095007620671595</v>
      </c>
      <c r="J36" s="260">
        <f t="shared" si="8"/>
        <v>38.62384850170497</v>
      </c>
      <c r="K36" s="260">
        <f t="shared" si="8"/>
        <v>45.88755042679054</v>
      </c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2"/>
    </row>
    <row r="38" spans="1:11" x14ac:dyDescent="0.25">
      <c r="A38" s="255" t="s">
        <v>604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x14ac:dyDescent="0.25">
      <c r="A39" s="256" t="str">
        <f>+A27</f>
        <v xml:space="preserve">Revenue from Sale </v>
      </c>
      <c r="B39" s="257">
        <f>+'P&amp;L'!B5</f>
        <v>551.14</v>
      </c>
      <c r="C39" s="257">
        <f>+'P&amp;L'!C5</f>
        <v>673.09199999999998</v>
      </c>
      <c r="D39" s="257">
        <f>+'P&amp;L'!D5</f>
        <v>786.50560000000007</v>
      </c>
      <c r="E39" s="257">
        <f>+'P&amp;L'!E5</f>
        <v>907.95570000000009</v>
      </c>
      <c r="F39" s="257">
        <f>+'P&amp;L'!F5</f>
        <v>1039.6155000000001</v>
      </c>
      <c r="G39" s="257">
        <f>+'P&amp;L'!G5</f>
        <v>1183.2075</v>
      </c>
      <c r="H39" s="257">
        <f>+'P&amp;L'!H5</f>
        <v>1338.8868</v>
      </c>
      <c r="I39" s="257">
        <f>+'P&amp;L'!I5</f>
        <v>1506.2823000000001</v>
      </c>
      <c r="J39" s="257">
        <f>+'P&amp;L'!J5</f>
        <v>1586.0712999999998</v>
      </c>
      <c r="K39" s="257">
        <f>+'P&amp;L'!K5</f>
        <v>1771.1754000000001</v>
      </c>
    </row>
    <row r="40" spans="1:11" x14ac:dyDescent="0.25">
      <c r="A40" s="256" t="str">
        <f>+A28</f>
        <v>Revenue- Service Charges for Rice Polishing</v>
      </c>
      <c r="B40" s="257">
        <f>+'P&amp;L'!B6</f>
        <v>2.4</v>
      </c>
      <c r="C40" s="257">
        <f>+'P&amp;L'!C6</f>
        <v>2.835</v>
      </c>
      <c r="D40" s="257">
        <f>+'P&amp;L'!D6</f>
        <v>3.3149999999999999</v>
      </c>
      <c r="E40" s="257">
        <f>+'P&amp;L'!E6</f>
        <v>3.8280000000000007</v>
      </c>
      <c r="F40" s="257">
        <f>+'P&amp;L'!F6</f>
        <v>4.3920000000000003</v>
      </c>
      <c r="G40" s="257">
        <f>+'P&amp;L'!G6</f>
        <v>4.992</v>
      </c>
      <c r="H40" s="257">
        <f>+'P&amp;L'!H6</f>
        <v>5.649</v>
      </c>
      <c r="I40" s="257">
        <f>+'P&amp;L'!I6</f>
        <v>6.3449999999999998</v>
      </c>
      <c r="J40" s="257">
        <f>+'P&amp;L'!J6</f>
        <v>6.66</v>
      </c>
      <c r="K40" s="257">
        <f>+'P&amp;L'!K6</f>
        <v>7.4640000000000004</v>
      </c>
    </row>
    <row r="41" spans="1:11" x14ac:dyDescent="0.25">
      <c r="A41" s="256" t="str">
        <f>+A29</f>
        <v>Change in Closing Stock of FG</v>
      </c>
      <c r="B41" s="257">
        <f>+'P&amp;L'!B12-'P&amp;L'!B11</f>
        <v>24.26</v>
      </c>
      <c r="C41" s="257">
        <f>+'P&amp;L'!C12-'P&amp;L'!C11</f>
        <v>4.1004999999999967</v>
      </c>
      <c r="D41" s="257">
        <f>+'P&amp;L'!D12-'P&amp;L'!D11</f>
        <v>4.1772000000000027</v>
      </c>
      <c r="E41" s="257">
        <f>+'P&amp;L'!E12-'P&amp;L'!E11</f>
        <v>5.1022999999999996</v>
      </c>
      <c r="F41" s="257">
        <f>+'P&amp;L'!F12-'P&amp;L'!F11</f>
        <v>5.9756</v>
      </c>
      <c r="G41" s="257">
        <f>+'P&amp;L'!G12-'P&amp;L'!G11</f>
        <v>6.0106999999999928</v>
      </c>
      <c r="H41" s="257">
        <f>+'P&amp;L'!H12-'P&amp;L'!H11</f>
        <v>6.5013000000000076</v>
      </c>
      <c r="I41" s="257">
        <f>+'P&amp;L'!I12-'P&amp;L'!I11</f>
        <v>7.0276000000000067</v>
      </c>
      <c r="J41" s="257">
        <f>+'P&amp;L'!J12-'P&amp;L'!J11</f>
        <v>3.1594999999999942</v>
      </c>
      <c r="K41" s="257">
        <f>+'P&amp;L'!K12-'P&amp;L'!K11</f>
        <v>8.1837000000000018</v>
      </c>
    </row>
    <row r="42" spans="1:11" x14ac:dyDescent="0.25">
      <c r="A42" s="255" t="s">
        <v>597</v>
      </c>
      <c r="B42" s="258">
        <f>SUM(B39:B41)</f>
        <v>577.79999999999995</v>
      </c>
      <c r="C42" s="258">
        <f>SUM(C39:C41)</f>
        <v>680.02750000000003</v>
      </c>
      <c r="D42" s="258">
        <f>SUM(D39:D41)</f>
        <v>793.9978000000001</v>
      </c>
      <c r="E42" s="258">
        <f>SUM(E39:E41)</f>
        <v>916.88600000000008</v>
      </c>
      <c r="F42" s="258">
        <f>SUM(F39:F41)</f>
        <v>1049.9831000000001</v>
      </c>
      <c r="G42" s="258">
        <f t="shared" ref="G42:K42" si="9">SUM(G39:G41)</f>
        <v>1194.2102</v>
      </c>
      <c r="H42" s="258">
        <f t="shared" si="9"/>
        <v>1351.0370999999998</v>
      </c>
      <c r="I42" s="258">
        <f t="shared" si="9"/>
        <v>1519.6549</v>
      </c>
      <c r="J42" s="258">
        <f t="shared" si="9"/>
        <v>1595.8907999999999</v>
      </c>
      <c r="K42" s="258">
        <f t="shared" si="9"/>
        <v>1786.8231000000001</v>
      </c>
    </row>
    <row r="43" spans="1:11" x14ac:dyDescent="0.25">
      <c r="A43" s="255" t="s">
        <v>598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</row>
    <row r="44" spans="1:11" x14ac:dyDescent="0.25">
      <c r="A44" s="263" t="s">
        <v>610</v>
      </c>
      <c r="B44" s="257">
        <f>+'P&amp;L'!B21*0.9</f>
        <v>488.7</v>
      </c>
      <c r="C44" s="257">
        <f>+'P&amp;L'!C21*0.9</f>
        <v>576.22950000000003</v>
      </c>
      <c r="D44" s="257">
        <f>+'P&amp;L'!D21*0.9</f>
        <v>672.31547999999998</v>
      </c>
      <c r="E44" s="257">
        <f>+'P&amp;L'!E21*0.9</f>
        <v>776.43116999999995</v>
      </c>
      <c r="F44" s="257">
        <f>+'P&amp;L'!F21*0.9</f>
        <v>889.37297999999998</v>
      </c>
      <c r="G44" s="257">
        <f>+'P&amp;L'!G21*0.9</f>
        <v>1011.65625</v>
      </c>
      <c r="H44" s="257">
        <f>+'P&amp;L'!H21*0.9</f>
        <v>1143.98919</v>
      </c>
      <c r="I44" s="257">
        <f>+'P&amp;L'!I21*0.9</f>
        <v>1286.9177400000001</v>
      </c>
      <c r="J44" s="257">
        <f>+'P&amp;L'!J21*0.9</f>
        <v>1351.0222200000001</v>
      </c>
      <c r="K44" s="257">
        <f>+'P&amp;L'!K21*0.9</f>
        <v>1513.27836</v>
      </c>
    </row>
    <row r="45" spans="1:11" x14ac:dyDescent="0.25">
      <c r="A45" s="256" t="s">
        <v>599</v>
      </c>
      <c r="B45" s="257">
        <f>+'P&amp;L'!B23*0.9</f>
        <v>7.3450508400000007</v>
      </c>
      <c r="C45" s="257">
        <f>+'P&amp;L'!C23*0.9</f>
        <v>7.7123033820000009</v>
      </c>
      <c r="D45" s="257">
        <f>+'P&amp;L'!D23*0.9</f>
        <v>8.0979185511000011</v>
      </c>
      <c r="E45" s="257">
        <f>+'P&amp;L'!E23*0.9</f>
        <v>8.5028144786550026</v>
      </c>
      <c r="F45" s="257">
        <f>+'P&amp;L'!F23*0.9</f>
        <v>8.9279552025877518</v>
      </c>
      <c r="G45" s="257">
        <f>+'P&amp;L'!G23*0.9</f>
        <v>9.3743529627171416</v>
      </c>
      <c r="H45" s="257">
        <f>+'P&amp;L'!H23*0.9</f>
        <v>9.8430706108529957</v>
      </c>
      <c r="I45" s="257">
        <f>+'P&amp;L'!I23*0.9</f>
        <v>10.335224141395647</v>
      </c>
      <c r="J45" s="257">
        <f>+'P&amp;L'!J23*0.9</f>
        <v>10.85198534846543</v>
      </c>
      <c r="K45" s="257">
        <f>+'P&amp;L'!K23*0.9</f>
        <v>11.394584615888702</v>
      </c>
    </row>
    <row r="46" spans="1:11" x14ac:dyDescent="0.25">
      <c r="A46" s="256" t="s">
        <v>343</v>
      </c>
      <c r="B46" s="257">
        <f>+'P&amp;L'!B25*0.9</f>
        <v>14.66892</v>
      </c>
      <c r="C46" s="257">
        <f>+'P&amp;L'!C25*0.9</f>
        <v>17.024616000000002</v>
      </c>
      <c r="D46" s="257">
        <f>+'P&amp;L'!D25*0.9</f>
        <v>19.269000000000002</v>
      </c>
      <c r="E46" s="257">
        <f>+'P&amp;L'!E25*0.9</f>
        <v>21.700296000000005</v>
      </c>
      <c r="F46" s="257">
        <f>+'P&amp;L'!F25*0.9</f>
        <v>24.093179999999997</v>
      </c>
      <c r="G46" s="257">
        <f>+'P&amp;L'!G25*0.9</f>
        <v>26.697276000000006</v>
      </c>
      <c r="H46" s="257">
        <f>+'P&amp;L'!H25*0.9</f>
        <v>29.254860000000001</v>
      </c>
      <c r="I46" s="257">
        <f>+'P&amp;L'!I25*0.9</f>
        <v>31.406255999999999</v>
      </c>
      <c r="J46" s="257">
        <f>+'P&amp;L'!J25*0.9</f>
        <v>31.422456</v>
      </c>
      <c r="K46" s="257">
        <f>+'P&amp;L'!K25*0.9</f>
        <v>33.419339999999998</v>
      </c>
    </row>
    <row r="47" spans="1:11" x14ac:dyDescent="0.25">
      <c r="A47" s="255" t="s">
        <v>600</v>
      </c>
      <c r="B47" s="258">
        <f>SUM(B44:B46)</f>
        <v>510.71397084</v>
      </c>
      <c r="C47" s="258">
        <f t="shared" ref="C47:K47" si="10">SUM(C44:C46)</f>
        <v>600.96641938200003</v>
      </c>
      <c r="D47" s="258">
        <f t="shared" si="10"/>
        <v>699.68239855109994</v>
      </c>
      <c r="E47" s="258">
        <f t="shared" si="10"/>
        <v>806.63428047865489</v>
      </c>
      <c r="F47" s="258">
        <f t="shared" si="10"/>
        <v>922.39411520258773</v>
      </c>
      <c r="G47" s="258">
        <f t="shared" si="10"/>
        <v>1047.7278789627171</v>
      </c>
      <c r="H47" s="258">
        <f t="shared" si="10"/>
        <v>1183.0871206108529</v>
      </c>
      <c r="I47" s="258">
        <f t="shared" si="10"/>
        <v>1328.6592201413957</v>
      </c>
      <c r="J47" s="258">
        <f t="shared" si="10"/>
        <v>1393.2966613484655</v>
      </c>
      <c r="K47" s="258">
        <f t="shared" si="10"/>
        <v>1558.0922846158887</v>
      </c>
    </row>
    <row r="48" spans="1:11" x14ac:dyDescent="0.25">
      <c r="A48" s="259" t="s">
        <v>601</v>
      </c>
      <c r="B48" s="260">
        <f>B42-B47</f>
        <v>67.086029159999953</v>
      </c>
      <c r="C48" s="260">
        <f>C42-C47</f>
        <v>79.061080618000005</v>
      </c>
      <c r="D48" s="260">
        <f>D42-D47</f>
        <v>94.315401448900161</v>
      </c>
      <c r="E48" s="260">
        <f>E42-E47</f>
        <v>110.25171952134519</v>
      </c>
      <c r="F48" s="260">
        <f>F42-F47</f>
        <v>127.58898479741242</v>
      </c>
      <c r="G48" s="260">
        <f t="shared" ref="G48:K48" si="11">G42-G47</f>
        <v>146.48232103728287</v>
      </c>
      <c r="H48" s="260">
        <f t="shared" si="11"/>
        <v>167.94997938914685</v>
      </c>
      <c r="I48" s="260">
        <f t="shared" si="11"/>
        <v>190.99567985860426</v>
      </c>
      <c r="J48" s="260">
        <f t="shared" si="11"/>
        <v>202.59413865153442</v>
      </c>
      <c r="K48" s="260">
        <f t="shared" si="11"/>
        <v>228.73081538411134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view="pageBreakPreview" zoomScale="60" zoomScaleNormal="100" workbookViewId="0">
      <selection activeCell="S3" sqref="S3"/>
    </sheetView>
  </sheetViews>
  <sheetFormatPr defaultColWidth="9.140625" defaultRowHeight="15" x14ac:dyDescent="0.25"/>
  <cols>
    <col min="1" max="1" width="22.42578125" bestFit="1" customWidth="1"/>
    <col min="2" max="2" width="9.5703125" bestFit="1" customWidth="1"/>
    <col min="3" max="3" width="11.140625" customWidth="1"/>
  </cols>
  <sheetData>
    <row r="2" spans="1:19" s="273" customFormat="1" ht="30" x14ac:dyDescent="0.25">
      <c r="A2" s="275" t="s">
        <v>640</v>
      </c>
      <c r="B2" s="274" t="s">
        <v>36</v>
      </c>
      <c r="C2" s="274" t="s">
        <v>37</v>
      </c>
      <c r="D2" s="274" t="s">
        <v>38</v>
      </c>
      <c r="E2" s="274" t="s">
        <v>39</v>
      </c>
      <c r="F2" s="274" t="s">
        <v>40</v>
      </c>
      <c r="G2" s="274" t="s">
        <v>41</v>
      </c>
      <c r="H2" s="274" t="s">
        <v>42</v>
      </c>
      <c r="I2" s="274" t="s">
        <v>505</v>
      </c>
      <c r="J2" s="274" t="s">
        <v>506</v>
      </c>
      <c r="K2" s="274" t="s">
        <v>507</v>
      </c>
    </row>
    <row r="3" spans="1:19" x14ac:dyDescent="0.25">
      <c r="S3" s="281">
        <v>0.15</v>
      </c>
    </row>
    <row r="4" spans="1:19" x14ac:dyDescent="0.25">
      <c r="A4" t="s">
        <v>638</v>
      </c>
      <c r="B4" s="271">
        <v>515</v>
      </c>
      <c r="C4" s="271">
        <f>ROUND(B4*120%,0)</f>
        <v>618</v>
      </c>
      <c r="D4" s="271">
        <f t="shared" ref="D4:K4" si="0">ROUND(C4*120%,0)</f>
        <v>742</v>
      </c>
      <c r="E4" s="271">
        <f t="shared" si="0"/>
        <v>890</v>
      </c>
      <c r="F4" s="271">
        <f t="shared" si="0"/>
        <v>1068</v>
      </c>
      <c r="G4" s="271">
        <f t="shared" si="0"/>
        <v>1282</v>
      </c>
      <c r="H4" s="271">
        <f t="shared" si="0"/>
        <v>1538</v>
      </c>
      <c r="I4" s="271">
        <f t="shared" si="0"/>
        <v>1846</v>
      </c>
      <c r="J4" s="271">
        <f t="shared" si="0"/>
        <v>2215</v>
      </c>
      <c r="K4" s="271">
        <f t="shared" si="0"/>
        <v>2658</v>
      </c>
      <c r="P4">
        <v>515</v>
      </c>
      <c r="S4">
        <v>1068</v>
      </c>
    </row>
    <row r="5" spans="1:19" x14ac:dyDescent="0.25">
      <c r="A5" t="s">
        <v>639</v>
      </c>
      <c r="B5" s="271">
        <v>6000</v>
      </c>
      <c r="C5" s="271">
        <f>B5-(C4-B4)</f>
        <v>5897</v>
      </c>
      <c r="D5" s="271">
        <f t="shared" ref="D5:K5" si="1">C5-(D4-C4)</f>
        <v>5773</v>
      </c>
      <c r="E5" s="271">
        <f t="shared" si="1"/>
        <v>5625</v>
      </c>
      <c r="F5" s="271">
        <f t="shared" si="1"/>
        <v>5447</v>
      </c>
      <c r="G5" s="271">
        <f t="shared" si="1"/>
        <v>5233</v>
      </c>
      <c r="H5" s="271">
        <f t="shared" si="1"/>
        <v>4977</v>
      </c>
      <c r="I5" s="271">
        <f t="shared" si="1"/>
        <v>4669</v>
      </c>
      <c r="J5" s="271">
        <f t="shared" si="1"/>
        <v>4300</v>
      </c>
      <c r="K5" s="271">
        <f t="shared" si="1"/>
        <v>3857</v>
      </c>
      <c r="P5">
        <v>486</v>
      </c>
      <c r="Q5">
        <f>+P5/$P$4</f>
        <v>0.94368932038834952</v>
      </c>
      <c r="S5">
        <f>+S4*S3</f>
        <v>160.19999999999999</v>
      </c>
    </row>
    <row r="6" spans="1:19" x14ac:dyDescent="0.25">
      <c r="P6">
        <v>21</v>
      </c>
      <c r="Q6">
        <f t="shared" ref="Q6:Q11" si="2">+P6/$P$4</f>
        <v>4.0776699029126215E-2</v>
      </c>
    </row>
    <row r="7" spans="1:19" x14ac:dyDescent="0.25">
      <c r="P7">
        <v>2</v>
      </c>
    </row>
    <row r="8" spans="1:19" s="273" customFormat="1" x14ac:dyDescent="0.25">
      <c r="A8" s="273" t="s">
        <v>641</v>
      </c>
      <c r="B8" s="274" t="s">
        <v>36</v>
      </c>
      <c r="C8" s="274" t="s">
        <v>37</v>
      </c>
      <c r="D8" s="274" t="s">
        <v>38</v>
      </c>
      <c r="E8" s="274" t="s">
        <v>39</v>
      </c>
      <c r="F8" s="274" t="s">
        <v>40</v>
      </c>
      <c r="G8" s="274" t="s">
        <v>41</v>
      </c>
      <c r="H8" s="274" t="s">
        <v>42</v>
      </c>
      <c r="I8" s="274" t="s">
        <v>505</v>
      </c>
      <c r="J8" s="274" t="s">
        <v>506</v>
      </c>
      <c r="K8" s="274" t="s">
        <v>507</v>
      </c>
      <c r="P8" s="273">
        <v>5</v>
      </c>
      <c r="Q8">
        <f t="shared" si="2"/>
        <v>9.7087378640776691E-3</v>
      </c>
    </row>
    <row r="9" spans="1:19" x14ac:dyDescent="0.25">
      <c r="P9">
        <v>0</v>
      </c>
      <c r="Q9">
        <f t="shared" si="2"/>
        <v>0</v>
      </c>
    </row>
    <row r="10" spans="1:19" x14ac:dyDescent="0.25">
      <c r="A10" t="s">
        <v>638</v>
      </c>
      <c r="B10" s="277">
        <f>B4*2.35</f>
        <v>1210.25</v>
      </c>
      <c r="C10" s="277">
        <f t="shared" ref="C10:K10" si="3">C4*2.35</f>
        <v>1452.3</v>
      </c>
      <c r="D10" s="277">
        <f t="shared" si="3"/>
        <v>1743.7</v>
      </c>
      <c r="E10" s="277">
        <f t="shared" si="3"/>
        <v>2091.5</v>
      </c>
      <c r="F10" s="277">
        <f t="shared" si="3"/>
        <v>2509.8000000000002</v>
      </c>
      <c r="G10" s="277">
        <f t="shared" si="3"/>
        <v>3012.7000000000003</v>
      </c>
      <c r="H10" s="277">
        <f t="shared" si="3"/>
        <v>3614.3</v>
      </c>
      <c r="I10" s="277">
        <f t="shared" si="3"/>
        <v>4338.1000000000004</v>
      </c>
      <c r="J10" s="277">
        <f t="shared" si="3"/>
        <v>5205.25</v>
      </c>
      <c r="K10" s="277">
        <f t="shared" si="3"/>
        <v>6246.3</v>
      </c>
      <c r="P10">
        <v>0</v>
      </c>
      <c r="Q10">
        <f t="shared" si="2"/>
        <v>0</v>
      </c>
    </row>
    <row r="11" spans="1:19" x14ac:dyDescent="0.25">
      <c r="A11" t="s">
        <v>639</v>
      </c>
      <c r="B11" s="277">
        <f>B5*2.35</f>
        <v>14100</v>
      </c>
      <c r="C11" s="277">
        <f t="shared" ref="C11:K11" si="4">C5*2.35</f>
        <v>13857.95</v>
      </c>
      <c r="D11" s="277">
        <f t="shared" si="4"/>
        <v>13566.550000000001</v>
      </c>
      <c r="E11" s="277">
        <f t="shared" si="4"/>
        <v>13218.75</v>
      </c>
      <c r="F11" s="277">
        <f t="shared" si="4"/>
        <v>12800.45</v>
      </c>
      <c r="G11" s="277">
        <f t="shared" si="4"/>
        <v>12297.550000000001</v>
      </c>
      <c r="H11" s="277">
        <f t="shared" si="4"/>
        <v>11695.95</v>
      </c>
      <c r="I11" s="277">
        <f t="shared" si="4"/>
        <v>10972.15</v>
      </c>
      <c r="J11" s="277">
        <f t="shared" si="4"/>
        <v>10105</v>
      </c>
      <c r="K11" s="277">
        <f t="shared" si="4"/>
        <v>9063.9500000000007</v>
      </c>
      <c r="P11">
        <v>21</v>
      </c>
      <c r="Q11">
        <f t="shared" si="2"/>
        <v>4.0776699029126215E-2</v>
      </c>
    </row>
    <row r="12" spans="1:19" x14ac:dyDescent="0.25">
      <c r="B12" s="271"/>
      <c r="C12" s="271"/>
      <c r="D12" s="271"/>
      <c r="E12" s="271"/>
      <c r="F12" s="271"/>
      <c r="G12" s="271"/>
      <c r="H12" s="271"/>
      <c r="I12" s="271"/>
      <c r="J12" s="271"/>
      <c r="K12" s="271"/>
    </row>
    <row r="13" spans="1:19" s="273" customFormat="1" x14ac:dyDescent="0.25">
      <c r="A13" s="273" t="s">
        <v>642</v>
      </c>
      <c r="B13" s="276">
        <f>SUM(B10:B12)</f>
        <v>15310.25</v>
      </c>
      <c r="C13" s="276">
        <f t="shared" ref="C13:K13" si="5">SUM(C10:C12)</f>
        <v>15310.25</v>
      </c>
      <c r="D13" s="276">
        <f t="shared" si="5"/>
        <v>15310.250000000002</v>
      </c>
      <c r="E13" s="276">
        <f t="shared" si="5"/>
        <v>15310.25</v>
      </c>
      <c r="F13" s="276">
        <f t="shared" si="5"/>
        <v>15310.25</v>
      </c>
      <c r="G13" s="276">
        <f t="shared" si="5"/>
        <v>15310.250000000002</v>
      </c>
      <c r="H13" s="276">
        <f t="shared" si="5"/>
        <v>15310.25</v>
      </c>
      <c r="I13" s="276">
        <f t="shared" si="5"/>
        <v>15310.25</v>
      </c>
      <c r="J13" s="276">
        <f t="shared" si="5"/>
        <v>15310.25</v>
      </c>
      <c r="K13" s="276">
        <f t="shared" si="5"/>
        <v>15310.25</v>
      </c>
    </row>
    <row r="15" spans="1:19" ht="30" x14ac:dyDescent="0.25">
      <c r="A15" s="272" t="s">
        <v>643</v>
      </c>
      <c r="B15" s="277">
        <f>B13*0.5</f>
        <v>7655.125</v>
      </c>
      <c r="C15" s="277">
        <f t="shared" ref="C15:K15" si="6">C13*0.5</f>
        <v>7655.125</v>
      </c>
      <c r="D15" s="277">
        <f t="shared" si="6"/>
        <v>7655.1250000000009</v>
      </c>
      <c r="E15" s="277">
        <f t="shared" si="6"/>
        <v>7655.125</v>
      </c>
      <c r="F15" s="277">
        <f t="shared" si="6"/>
        <v>7655.125</v>
      </c>
      <c r="G15" s="277">
        <f t="shared" si="6"/>
        <v>7655.1250000000009</v>
      </c>
      <c r="H15" s="277">
        <f t="shared" si="6"/>
        <v>7655.125</v>
      </c>
      <c r="I15" s="277">
        <f t="shared" si="6"/>
        <v>7655.125</v>
      </c>
      <c r="J15" s="277">
        <f t="shared" si="6"/>
        <v>7655.125</v>
      </c>
      <c r="K15" s="277">
        <f t="shared" si="6"/>
        <v>7655.125</v>
      </c>
    </row>
    <row r="16" spans="1:19" s="273" customFormat="1" ht="30" x14ac:dyDescent="0.25">
      <c r="A16" s="275" t="s">
        <v>644</v>
      </c>
      <c r="B16" s="276">
        <f>B15*0.7</f>
        <v>5358.5874999999996</v>
      </c>
      <c r="C16" s="276">
        <f t="shared" ref="C16:K16" si="7">C15*0.7</f>
        <v>5358.5874999999996</v>
      </c>
      <c r="D16" s="276">
        <f t="shared" si="7"/>
        <v>5358.5875000000005</v>
      </c>
      <c r="E16" s="276">
        <f t="shared" si="7"/>
        <v>5358.5874999999996</v>
      </c>
      <c r="F16" s="276">
        <f t="shared" si="7"/>
        <v>5358.5874999999996</v>
      </c>
      <c r="G16" s="276">
        <f t="shared" si="7"/>
        <v>5358.5875000000005</v>
      </c>
      <c r="H16" s="276">
        <f t="shared" si="7"/>
        <v>5358.5874999999996</v>
      </c>
      <c r="I16" s="276">
        <f t="shared" si="7"/>
        <v>5358.5874999999996</v>
      </c>
      <c r="J16" s="276">
        <f t="shared" si="7"/>
        <v>5358.5874999999996</v>
      </c>
      <c r="K16" s="276">
        <f t="shared" si="7"/>
        <v>5358.5874999999996</v>
      </c>
    </row>
    <row r="18" spans="1:11" s="273" customFormat="1" ht="30" x14ac:dyDescent="0.25">
      <c r="A18" s="275" t="s">
        <v>647</v>
      </c>
      <c r="B18" s="274">
        <f>'Output Schedule'!B12+'Output Schedule'!B17</f>
        <v>2400</v>
      </c>
      <c r="C18" s="274">
        <f>'Output Schedule'!C12+'Output Schedule'!C17</f>
        <v>2700</v>
      </c>
      <c r="D18" s="274">
        <f>'Output Schedule'!D12+'Output Schedule'!D17</f>
        <v>3000</v>
      </c>
      <c r="E18" s="274">
        <f>'Output Schedule'!E12+'Output Schedule'!E17</f>
        <v>3300.0000000000005</v>
      </c>
      <c r="F18" s="274">
        <f>'Output Schedule'!F12+'Output Schedule'!F17</f>
        <v>3600</v>
      </c>
      <c r="G18" s="274">
        <f>'Output Schedule'!G12+'Output Schedule'!G17</f>
        <v>3900</v>
      </c>
      <c r="H18" s="274">
        <f>'Output Schedule'!H12+'Output Schedule'!H17</f>
        <v>4200</v>
      </c>
      <c r="I18" s="274">
        <f>'Output Schedule'!I12+'Output Schedule'!I17</f>
        <v>4500</v>
      </c>
      <c r="J18" s="274">
        <f>'Output Schedule'!J12+'Output Schedule'!J17</f>
        <v>4500</v>
      </c>
      <c r="K18" s="274">
        <f>'Output Schedule'!K12+'Output Schedule'!K17</f>
        <v>4800</v>
      </c>
    </row>
  </sheetData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E6" sqref="E6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12" style="1" bestFit="1" customWidth="1"/>
    <col min="5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5" ht="18.75" x14ac:dyDescent="0.3">
      <c r="A1" s="289" t="s">
        <v>25</v>
      </c>
      <c r="B1" s="289"/>
    </row>
    <row r="2" spans="1:5" ht="15.75" x14ac:dyDescent="0.25">
      <c r="A2" s="12" t="s">
        <v>26</v>
      </c>
    </row>
    <row r="3" spans="1:5" x14ac:dyDescent="0.25">
      <c r="A3" s="15" t="s">
        <v>1</v>
      </c>
      <c r="B3" s="15" t="s">
        <v>27</v>
      </c>
      <c r="C3" s="15" t="s">
        <v>558</v>
      </c>
    </row>
    <row r="4" spans="1:5" x14ac:dyDescent="0.25">
      <c r="A4" s="6"/>
      <c r="B4" s="6"/>
      <c r="C4" s="6"/>
    </row>
    <row r="5" spans="1:5" x14ac:dyDescent="0.25">
      <c r="A5" s="6" t="s">
        <v>28</v>
      </c>
      <c r="B5" s="9">
        <v>0</v>
      </c>
      <c r="C5" s="247">
        <f>B5/$B$15</f>
        <v>0</v>
      </c>
    </row>
    <row r="6" spans="1:5" x14ac:dyDescent="0.25">
      <c r="A6" s="6" t="s">
        <v>5</v>
      </c>
      <c r="B6" s="19">
        <f>'Capital Cost'!C7</f>
        <v>57.6</v>
      </c>
      <c r="C6" s="247">
        <f t="shared" ref="C6:C13" si="0">B6/$B$15</f>
        <v>0.64100387729993136</v>
      </c>
      <c r="E6" s="1">
        <f>+B6*0.6</f>
        <v>34.56</v>
      </c>
    </row>
    <row r="7" spans="1:5" x14ac:dyDescent="0.25">
      <c r="A7" s="6" t="s">
        <v>7</v>
      </c>
      <c r="B7" s="19">
        <v>0</v>
      </c>
      <c r="C7" s="247">
        <f t="shared" si="0"/>
        <v>0</v>
      </c>
      <c r="D7" s="13"/>
      <c r="E7" s="1">
        <f>+B7*0.6</f>
        <v>0</v>
      </c>
    </row>
    <row r="8" spans="1:5" x14ac:dyDescent="0.25">
      <c r="A8" s="10" t="s">
        <v>414</v>
      </c>
      <c r="B8" s="19">
        <f>+'Capital Cost'!C13</f>
        <v>23.033519999999999</v>
      </c>
      <c r="C8" s="247">
        <f t="shared" si="0"/>
        <v>0.25632943798377633</v>
      </c>
      <c r="D8" s="13"/>
      <c r="E8" s="1">
        <f>+B8*0.6</f>
        <v>13.820112</v>
      </c>
    </row>
    <row r="9" spans="1:5" hidden="1" x14ac:dyDescent="0.25">
      <c r="A9" s="10" t="s">
        <v>502</v>
      </c>
      <c r="B9" s="19"/>
      <c r="C9" s="247">
        <f t="shared" si="0"/>
        <v>0</v>
      </c>
      <c r="D9" s="13"/>
    </row>
    <row r="10" spans="1:5" x14ac:dyDescent="0.25">
      <c r="A10" s="10" t="s">
        <v>619</v>
      </c>
      <c r="B10" s="19">
        <f>+'Capital Cost'!C28</f>
        <v>4.031676</v>
      </c>
      <c r="C10" s="247">
        <f t="shared" si="0"/>
        <v>4.4866665764185389E-2</v>
      </c>
      <c r="E10" s="1">
        <f>+B10*0.6</f>
        <v>2.4190055999999998</v>
      </c>
    </row>
    <row r="11" spans="1:5" x14ac:dyDescent="0.25">
      <c r="A11" s="10" t="s">
        <v>415</v>
      </c>
      <c r="B11" s="19">
        <f>+'Capital Cost'!C21+'Capital Cost'!C24</f>
        <v>0</v>
      </c>
      <c r="C11" s="247">
        <f t="shared" si="0"/>
        <v>0</v>
      </c>
      <c r="E11" s="1">
        <f>+B11*0.6</f>
        <v>0</v>
      </c>
    </row>
    <row r="12" spans="1:5" x14ac:dyDescent="0.25">
      <c r="A12" s="6" t="s">
        <v>21</v>
      </c>
      <c r="B12" s="19">
        <v>0</v>
      </c>
      <c r="C12" s="247">
        <f t="shared" si="0"/>
        <v>0</v>
      </c>
    </row>
    <row r="13" spans="1:5" x14ac:dyDescent="0.25">
      <c r="A13" s="6" t="s">
        <v>23</v>
      </c>
      <c r="B13" s="19">
        <f>'WC Assessment'!C13</f>
        <v>5.193854841666667</v>
      </c>
      <c r="C13" s="247">
        <f t="shared" si="0"/>
        <v>5.7800018952106853E-2</v>
      </c>
    </row>
    <row r="14" spans="1:5" x14ac:dyDescent="0.25">
      <c r="A14" s="6"/>
      <c r="B14" s="6"/>
      <c r="C14" s="6"/>
    </row>
    <row r="15" spans="1:5" x14ac:dyDescent="0.25">
      <c r="A15" s="218" t="s">
        <v>29</v>
      </c>
      <c r="B15" s="248">
        <f>SUM(B5:B14)</f>
        <v>89.859050841666672</v>
      </c>
      <c r="C15" s="249">
        <f>B15/$B$15</f>
        <v>1</v>
      </c>
    </row>
    <row r="17" spans="1:4" ht="15.75" x14ac:dyDescent="0.25">
      <c r="A17" s="14" t="s">
        <v>30</v>
      </c>
    </row>
    <row r="18" spans="1:4" x14ac:dyDescent="0.25">
      <c r="A18" s="15" t="s">
        <v>1</v>
      </c>
      <c r="B18" s="15" t="s">
        <v>27</v>
      </c>
      <c r="C18" s="15" t="s">
        <v>559</v>
      </c>
    </row>
    <row r="19" spans="1:4" x14ac:dyDescent="0.25">
      <c r="A19" s="6" t="s">
        <v>32</v>
      </c>
      <c r="B19" s="19">
        <f>+B15-B20</f>
        <v>39.05993324166667</v>
      </c>
      <c r="C19" s="247">
        <f>B19/$B$23</f>
        <v>0.43468001137126411</v>
      </c>
      <c r="D19" s="38"/>
    </row>
    <row r="20" spans="1:4" x14ac:dyDescent="0.25">
      <c r="A20" s="6" t="s">
        <v>332</v>
      </c>
      <c r="B20" s="19">
        <f>+(B15-B13)*0.6</f>
        <v>50.799117600000002</v>
      </c>
      <c r="C20" s="247">
        <f t="shared" ref="C20:C23" si="1">B20/$B$23</f>
        <v>0.56531998862873589</v>
      </c>
      <c r="D20" s="38"/>
    </row>
    <row r="21" spans="1:4" x14ac:dyDescent="0.25">
      <c r="A21" s="6" t="s">
        <v>31</v>
      </c>
      <c r="B21" s="19">
        <v>0</v>
      </c>
      <c r="C21" s="247">
        <f t="shared" si="1"/>
        <v>0</v>
      </c>
      <c r="D21" s="38"/>
    </row>
    <row r="22" spans="1:4" x14ac:dyDescent="0.25">
      <c r="A22" s="6"/>
      <c r="B22" s="6"/>
      <c r="C22" s="6"/>
    </row>
    <row r="23" spans="1:4" x14ac:dyDescent="0.25">
      <c r="A23" s="218" t="s">
        <v>29</v>
      </c>
      <c r="B23" s="248">
        <f>B15</f>
        <v>89.859050841666672</v>
      </c>
      <c r="C23" s="249">
        <f t="shared" si="1"/>
        <v>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T29" sqref="T29"/>
    </sheetView>
  </sheetViews>
  <sheetFormatPr defaultRowHeight="15" x14ac:dyDescent="0.25"/>
  <cols>
    <col min="1" max="1" width="0" style="1" hidden="1" customWidth="1"/>
    <col min="2" max="2" width="29.140625" style="1" bestFit="1" customWidth="1"/>
    <col min="3" max="3" width="8.28515625" style="1" customWidth="1"/>
    <col min="4" max="5" width="8.28515625" style="1" bestFit="1" customWidth="1"/>
    <col min="6" max="6" width="7.85546875" style="1" bestFit="1" customWidth="1"/>
    <col min="7" max="9" width="8.28515625" style="1" bestFit="1" customWidth="1"/>
    <col min="10" max="12" width="8.28515625" style="1" customWidth="1"/>
    <col min="13" max="14" width="9.140625" style="1"/>
    <col min="15" max="15" width="28.7109375" style="1" bestFit="1" customWidth="1"/>
    <col min="16" max="20" width="8.28515625" style="1" bestFit="1" customWidth="1"/>
    <col min="21" max="22" width="7.85546875" style="1" bestFit="1" customWidth="1"/>
    <col min="23" max="16384" width="9.140625" style="1"/>
  </cols>
  <sheetData>
    <row r="2" spans="2:25" x14ac:dyDescent="0.25">
      <c r="B2" s="290" t="s">
        <v>34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O2" s="290" t="s">
        <v>35</v>
      </c>
      <c r="P2" s="291"/>
      <c r="Q2" s="291"/>
      <c r="R2" s="291"/>
      <c r="S2" s="291"/>
      <c r="T2" s="291"/>
      <c r="U2" s="291"/>
      <c r="V2" s="291"/>
      <c r="W2" s="291"/>
      <c r="X2" s="291"/>
      <c r="Y2" s="291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505</v>
      </c>
      <c r="K3" s="17" t="s">
        <v>506</v>
      </c>
      <c r="L3" s="17" t="s">
        <v>507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505</v>
      </c>
      <c r="X3" s="17" t="s">
        <v>506</v>
      </c>
      <c r="Y3" s="17" t="s">
        <v>507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57.6</v>
      </c>
      <c r="D5" s="19">
        <f>C7</f>
        <v>55.774079999999998</v>
      </c>
      <c r="E5" s="19">
        <f t="shared" ref="E5:I5" si="0">D7</f>
        <v>53.948160000000001</v>
      </c>
      <c r="F5" s="19">
        <f t="shared" si="0"/>
        <v>52.122240000000005</v>
      </c>
      <c r="G5" s="19">
        <f t="shared" si="0"/>
        <v>50.296320000000009</v>
      </c>
      <c r="H5" s="19">
        <f t="shared" si="0"/>
        <v>48.470400000000012</v>
      </c>
      <c r="I5" s="19">
        <f t="shared" si="0"/>
        <v>46.644480000000016</v>
      </c>
      <c r="J5" s="19">
        <f t="shared" ref="J5" si="1">I7</f>
        <v>44.818560000000019</v>
      </c>
      <c r="K5" s="19">
        <f t="shared" ref="K5" si="2">J7</f>
        <v>42.992640000000023</v>
      </c>
      <c r="L5" s="19">
        <f t="shared" ref="L5" si="3">K7</f>
        <v>41.166720000000026</v>
      </c>
      <c r="O5" s="6" t="s">
        <v>45</v>
      </c>
      <c r="P5" s="19">
        <f>C5</f>
        <v>57.6</v>
      </c>
      <c r="Q5" s="19">
        <f>P7</f>
        <v>51.84</v>
      </c>
      <c r="R5" s="19">
        <f t="shared" ref="R5:V5" si="4">Q7</f>
        <v>46.656000000000006</v>
      </c>
      <c r="S5" s="19">
        <f t="shared" si="4"/>
        <v>41.990400000000008</v>
      </c>
      <c r="T5" s="19">
        <f t="shared" si="4"/>
        <v>37.791360000000005</v>
      </c>
      <c r="U5" s="19">
        <f t="shared" si="4"/>
        <v>34.012224000000003</v>
      </c>
      <c r="V5" s="19">
        <f t="shared" si="4"/>
        <v>30.611001600000002</v>
      </c>
      <c r="W5" s="19">
        <f t="shared" ref="W5" si="5">V7</f>
        <v>27.549901439999999</v>
      </c>
      <c r="X5" s="19">
        <f t="shared" ref="X5" si="6">W7</f>
        <v>24.794911295999999</v>
      </c>
      <c r="Y5" s="19">
        <f t="shared" ref="Y5" si="7">X7</f>
        <v>22.315420166399999</v>
      </c>
    </row>
    <row r="6" spans="2:25" x14ac:dyDescent="0.25">
      <c r="B6" s="6" t="s">
        <v>46</v>
      </c>
      <c r="C6" s="19">
        <f>C5*3.17%</f>
        <v>1.82592</v>
      </c>
      <c r="D6" s="19">
        <f>C6</f>
        <v>1.82592</v>
      </c>
      <c r="E6" s="19">
        <f t="shared" ref="E6:I6" si="8">D6</f>
        <v>1.82592</v>
      </c>
      <c r="F6" s="19">
        <f t="shared" si="8"/>
        <v>1.82592</v>
      </c>
      <c r="G6" s="19">
        <f t="shared" si="8"/>
        <v>1.82592</v>
      </c>
      <c r="H6" s="19">
        <f t="shared" si="8"/>
        <v>1.82592</v>
      </c>
      <c r="I6" s="19">
        <f t="shared" si="8"/>
        <v>1.82592</v>
      </c>
      <c r="J6" s="19">
        <f t="shared" ref="J6" si="9">I6</f>
        <v>1.82592</v>
      </c>
      <c r="K6" s="19">
        <f t="shared" ref="K6" si="10">J6</f>
        <v>1.82592</v>
      </c>
      <c r="L6" s="19">
        <f t="shared" ref="L6" si="11">K6</f>
        <v>1.82592</v>
      </c>
      <c r="O6" s="1" t="s">
        <v>47</v>
      </c>
      <c r="P6" s="19">
        <f>P5*10%</f>
        <v>5.7600000000000007</v>
      </c>
      <c r="Q6" s="19">
        <f>Q5*10%</f>
        <v>5.1840000000000011</v>
      </c>
      <c r="R6" s="19">
        <f t="shared" ref="R6:V6" si="12">R5*10%</f>
        <v>4.6656000000000004</v>
      </c>
      <c r="S6" s="19">
        <f t="shared" si="12"/>
        <v>4.199040000000001</v>
      </c>
      <c r="T6" s="19">
        <f t="shared" si="12"/>
        <v>3.7791360000000007</v>
      </c>
      <c r="U6" s="19">
        <f t="shared" si="12"/>
        <v>3.4012224000000004</v>
      </c>
      <c r="V6" s="19">
        <f t="shared" si="12"/>
        <v>3.0611001600000005</v>
      </c>
      <c r="W6" s="19">
        <f t="shared" ref="W6:Y6" si="13">W5*10%</f>
        <v>2.7549901440000002</v>
      </c>
      <c r="X6" s="19">
        <f t="shared" si="13"/>
        <v>2.4794911296</v>
      </c>
      <c r="Y6" s="19">
        <f t="shared" si="13"/>
        <v>2.2315420166400002</v>
      </c>
    </row>
    <row r="7" spans="2:25" x14ac:dyDescent="0.25">
      <c r="B7" s="6" t="s">
        <v>48</v>
      </c>
      <c r="C7" s="19">
        <f>C5-C6</f>
        <v>55.774079999999998</v>
      </c>
      <c r="D7" s="19">
        <f t="shared" ref="D7:I7" si="14">D5-D6</f>
        <v>53.948160000000001</v>
      </c>
      <c r="E7" s="19">
        <f t="shared" si="14"/>
        <v>52.122240000000005</v>
      </c>
      <c r="F7" s="19">
        <f t="shared" si="14"/>
        <v>50.296320000000009</v>
      </c>
      <c r="G7" s="19">
        <f t="shared" si="14"/>
        <v>48.470400000000012</v>
      </c>
      <c r="H7" s="19">
        <f t="shared" si="14"/>
        <v>46.644480000000016</v>
      </c>
      <c r="I7" s="19">
        <f t="shared" si="14"/>
        <v>44.818560000000019</v>
      </c>
      <c r="J7" s="19">
        <f t="shared" ref="J7:L7" si="15">J5-J6</f>
        <v>42.992640000000023</v>
      </c>
      <c r="K7" s="19">
        <f t="shared" si="15"/>
        <v>41.166720000000026</v>
      </c>
      <c r="L7" s="19">
        <f t="shared" si="15"/>
        <v>39.34080000000003</v>
      </c>
      <c r="O7" s="6" t="s">
        <v>48</v>
      </c>
      <c r="P7" s="19">
        <f t="shared" ref="P7:V7" si="16">P5-P6</f>
        <v>51.84</v>
      </c>
      <c r="Q7" s="19">
        <f t="shared" si="16"/>
        <v>46.656000000000006</v>
      </c>
      <c r="R7" s="19">
        <f t="shared" si="16"/>
        <v>41.990400000000008</v>
      </c>
      <c r="S7" s="19">
        <f t="shared" si="16"/>
        <v>37.791360000000005</v>
      </c>
      <c r="T7" s="19">
        <f t="shared" si="16"/>
        <v>34.012224000000003</v>
      </c>
      <c r="U7" s="19">
        <f t="shared" si="16"/>
        <v>30.611001600000002</v>
      </c>
      <c r="V7" s="19">
        <f t="shared" si="16"/>
        <v>27.549901439999999</v>
      </c>
      <c r="W7" s="19">
        <f t="shared" ref="W7:Y7" si="17">W5-W6</f>
        <v>24.794911295999999</v>
      </c>
      <c r="X7" s="19">
        <f t="shared" si="17"/>
        <v>22.315420166399999</v>
      </c>
      <c r="Y7" s="19">
        <f t="shared" si="17"/>
        <v>20.08387814976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23.033519999999999</v>
      </c>
      <c r="D10" s="19">
        <f>C12</f>
        <v>21.575498184000001</v>
      </c>
      <c r="E10" s="19">
        <f t="shared" ref="E10:I10" si="18">D12</f>
        <v>20.117476368000002</v>
      </c>
      <c r="F10" s="19">
        <f t="shared" si="18"/>
        <v>18.659454552000003</v>
      </c>
      <c r="G10" s="19">
        <f t="shared" si="18"/>
        <v>17.201432736000005</v>
      </c>
      <c r="H10" s="19">
        <f t="shared" si="18"/>
        <v>15.743410920000004</v>
      </c>
      <c r="I10" s="19">
        <f t="shared" si="18"/>
        <v>14.285389104000004</v>
      </c>
      <c r="J10" s="19">
        <f t="shared" ref="J10" si="19">I12</f>
        <v>12.827367288000003</v>
      </c>
      <c r="K10" s="19">
        <f t="shared" ref="K10" si="20">J12</f>
        <v>11.369345472000003</v>
      </c>
      <c r="L10" s="19">
        <f t="shared" ref="L10" si="21">K12</f>
        <v>9.9113236560000022</v>
      </c>
      <c r="O10" s="21" t="s">
        <v>50</v>
      </c>
      <c r="P10" s="19">
        <f>C10</f>
        <v>23.033519999999999</v>
      </c>
      <c r="Q10" s="19">
        <f>P12</f>
        <v>19.578492000000001</v>
      </c>
      <c r="R10" s="19">
        <f t="shared" ref="R10:V10" si="22">Q12</f>
        <v>16.6417182</v>
      </c>
      <c r="S10" s="19">
        <f t="shared" si="22"/>
        <v>14.14546047</v>
      </c>
      <c r="T10" s="19">
        <f t="shared" si="22"/>
        <v>12.023641399500001</v>
      </c>
      <c r="U10" s="19">
        <f t="shared" si="22"/>
        <v>10.220095189575002</v>
      </c>
      <c r="V10" s="19">
        <f t="shared" si="22"/>
        <v>8.6870809111387519</v>
      </c>
      <c r="W10" s="19">
        <f t="shared" ref="W10" si="23">V12</f>
        <v>7.3840187744679389</v>
      </c>
      <c r="X10" s="19">
        <f t="shared" ref="X10" si="24">W12</f>
        <v>6.2764159582977479</v>
      </c>
      <c r="Y10" s="19">
        <f t="shared" ref="Y10" si="25">X12</f>
        <v>5.3349535645530857</v>
      </c>
    </row>
    <row r="11" spans="2:25" x14ac:dyDescent="0.25">
      <c r="B11" s="21" t="s">
        <v>51</v>
      </c>
      <c r="C11" s="19">
        <f>C10*6.33%</f>
        <v>1.4580218159999998</v>
      </c>
      <c r="D11" s="19">
        <f>C11</f>
        <v>1.4580218159999998</v>
      </c>
      <c r="E11" s="19">
        <f t="shared" ref="E11:I11" si="26">D11</f>
        <v>1.4580218159999998</v>
      </c>
      <c r="F11" s="19">
        <f t="shared" si="26"/>
        <v>1.4580218159999998</v>
      </c>
      <c r="G11" s="19">
        <f t="shared" si="26"/>
        <v>1.4580218159999998</v>
      </c>
      <c r="H11" s="19">
        <f t="shared" si="26"/>
        <v>1.4580218159999998</v>
      </c>
      <c r="I11" s="19">
        <f t="shared" si="26"/>
        <v>1.4580218159999998</v>
      </c>
      <c r="J11" s="19">
        <f t="shared" ref="J11" si="27">I11</f>
        <v>1.4580218159999998</v>
      </c>
      <c r="K11" s="19">
        <f t="shared" ref="K11" si="28">J11</f>
        <v>1.4580218159999998</v>
      </c>
      <c r="L11" s="19">
        <f t="shared" ref="L11" si="29">K11</f>
        <v>1.4580218159999998</v>
      </c>
      <c r="O11" s="21" t="s">
        <v>52</v>
      </c>
      <c r="P11" s="19">
        <f>P10*15%</f>
        <v>3.455028</v>
      </c>
      <c r="Q11" s="19">
        <f t="shared" ref="Q11:V11" si="30">Q10*15%</f>
        <v>2.9367738000000001</v>
      </c>
      <c r="R11" s="19">
        <f t="shared" si="30"/>
        <v>2.49625773</v>
      </c>
      <c r="S11" s="19">
        <f t="shared" si="30"/>
        <v>2.1218190705</v>
      </c>
      <c r="T11" s="19">
        <f t="shared" si="30"/>
        <v>1.8035462099249999</v>
      </c>
      <c r="U11" s="19">
        <f t="shared" si="30"/>
        <v>1.5330142784362502</v>
      </c>
      <c r="V11" s="19">
        <f t="shared" si="30"/>
        <v>1.3030621366708128</v>
      </c>
      <c r="W11" s="19">
        <f t="shared" ref="W11:Y11" si="31">W10*15%</f>
        <v>1.1076028161701907</v>
      </c>
      <c r="X11" s="19">
        <f t="shared" si="31"/>
        <v>0.94146239374466212</v>
      </c>
      <c r="Y11" s="19">
        <f t="shared" si="31"/>
        <v>0.80024303468296287</v>
      </c>
    </row>
    <row r="12" spans="2:25" x14ac:dyDescent="0.25">
      <c r="B12" s="6" t="s">
        <v>48</v>
      </c>
      <c r="C12" s="19">
        <f>C10-C11</f>
        <v>21.575498184000001</v>
      </c>
      <c r="D12" s="19">
        <f t="shared" ref="D12:I12" si="32">D10-D11</f>
        <v>20.117476368000002</v>
      </c>
      <c r="E12" s="19">
        <f t="shared" si="32"/>
        <v>18.659454552000003</v>
      </c>
      <c r="F12" s="19">
        <f t="shared" si="32"/>
        <v>17.201432736000005</v>
      </c>
      <c r="G12" s="19">
        <f t="shared" si="32"/>
        <v>15.743410920000004</v>
      </c>
      <c r="H12" s="19">
        <f t="shared" si="32"/>
        <v>14.285389104000004</v>
      </c>
      <c r="I12" s="19">
        <f t="shared" si="32"/>
        <v>12.827367288000003</v>
      </c>
      <c r="J12" s="19">
        <f t="shared" ref="J12:L12" si="33">J10-J11</f>
        <v>11.369345472000003</v>
      </c>
      <c r="K12" s="19">
        <f t="shared" si="33"/>
        <v>9.9113236560000022</v>
      </c>
      <c r="L12" s="19">
        <f t="shared" si="33"/>
        <v>8.4533018400000017</v>
      </c>
      <c r="O12" s="6" t="s">
        <v>48</v>
      </c>
      <c r="P12" s="19">
        <f t="shared" ref="P12:V12" si="34">P10-P11</f>
        <v>19.578492000000001</v>
      </c>
      <c r="Q12" s="19">
        <f t="shared" si="34"/>
        <v>16.6417182</v>
      </c>
      <c r="R12" s="19">
        <f t="shared" si="34"/>
        <v>14.14546047</v>
      </c>
      <c r="S12" s="19">
        <f t="shared" si="34"/>
        <v>12.023641399500001</v>
      </c>
      <c r="T12" s="19">
        <f t="shared" si="34"/>
        <v>10.220095189575002</v>
      </c>
      <c r="U12" s="19">
        <f t="shared" si="34"/>
        <v>8.6870809111387519</v>
      </c>
      <c r="V12" s="19">
        <f t="shared" si="34"/>
        <v>7.3840187744679389</v>
      </c>
      <c r="W12" s="19">
        <f t="shared" ref="W12:Y12" si="35">W10-W11</f>
        <v>6.2764159582977479</v>
      </c>
      <c r="X12" s="19">
        <f t="shared" si="35"/>
        <v>5.3349535645530857</v>
      </c>
      <c r="Y12" s="19">
        <f t="shared" si="35"/>
        <v>4.5347105298701225</v>
      </c>
    </row>
    <row r="13" spans="2:25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hidden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80.633520000000004</v>
      </c>
      <c r="D19" s="22">
        <f t="shared" ref="D19:I21" si="54">D5+D10+D15</f>
        <v>77.349578183999995</v>
      </c>
      <c r="E19" s="22">
        <f t="shared" si="54"/>
        <v>74.065636368</v>
      </c>
      <c r="F19" s="22">
        <f t="shared" si="54"/>
        <v>70.781694552000005</v>
      </c>
      <c r="G19" s="22">
        <f t="shared" si="54"/>
        <v>67.49775273600001</v>
      </c>
      <c r="H19" s="22">
        <f t="shared" si="54"/>
        <v>64.213810920000014</v>
      </c>
      <c r="I19" s="22">
        <f t="shared" si="54"/>
        <v>60.929869104000019</v>
      </c>
      <c r="J19" s="22">
        <f t="shared" ref="J19:L19" si="55">J5+J10+J15</f>
        <v>57.645927288000024</v>
      </c>
      <c r="K19" s="22">
        <f t="shared" si="55"/>
        <v>54.361985472000029</v>
      </c>
      <c r="L19" s="22">
        <f t="shared" si="55"/>
        <v>51.078043656000027</v>
      </c>
      <c r="O19" s="20" t="s">
        <v>56</v>
      </c>
      <c r="P19" s="22">
        <f>P5+P10+P15</f>
        <v>80.633520000000004</v>
      </c>
      <c r="Q19" s="22">
        <f t="shared" ref="Q19:V21" si="56">Q5+Q10+Q15</f>
        <v>71.418492000000001</v>
      </c>
      <c r="R19" s="22">
        <f t="shared" si="56"/>
        <v>63.297718200000006</v>
      </c>
      <c r="S19" s="22">
        <f t="shared" si="56"/>
        <v>56.135860470000011</v>
      </c>
      <c r="T19" s="22">
        <f t="shared" si="56"/>
        <v>49.815001399500005</v>
      </c>
      <c r="U19" s="22">
        <f t="shared" si="56"/>
        <v>44.232319189575009</v>
      </c>
      <c r="V19" s="22">
        <f t="shared" si="56"/>
        <v>39.298082511138752</v>
      </c>
      <c r="W19" s="22">
        <f t="shared" ref="W19:Y19" si="57">W5+W10+W15</f>
        <v>34.933920214467939</v>
      </c>
      <c r="X19" s="22">
        <f t="shared" si="57"/>
        <v>31.071327254297746</v>
      </c>
      <c r="Y19" s="22">
        <f t="shared" si="57"/>
        <v>27.650373730953085</v>
      </c>
    </row>
    <row r="20" spans="2:25" x14ac:dyDescent="0.25">
      <c r="B20" s="20" t="s">
        <v>57</v>
      </c>
      <c r="C20" s="22">
        <f t="shared" ref="C20:G21" si="58">C6+C11+C16</f>
        <v>3.2839418159999996</v>
      </c>
      <c r="D20" s="22">
        <f t="shared" si="58"/>
        <v>3.2839418159999996</v>
      </c>
      <c r="E20" s="22">
        <f t="shared" si="58"/>
        <v>3.2839418159999996</v>
      </c>
      <c r="F20" s="22">
        <f t="shared" si="58"/>
        <v>3.2839418159999996</v>
      </c>
      <c r="G20" s="22">
        <f t="shared" si="58"/>
        <v>3.2839418159999996</v>
      </c>
      <c r="H20" s="22">
        <f t="shared" si="54"/>
        <v>3.2839418159999996</v>
      </c>
      <c r="I20" s="22">
        <f t="shared" si="54"/>
        <v>3.2839418159999996</v>
      </c>
      <c r="J20" s="22">
        <f t="shared" ref="J20:L20" si="59">J6+J11+J16</f>
        <v>3.2839418159999996</v>
      </c>
      <c r="K20" s="22">
        <f t="shared" si="59"/>
        <v>3.2839418159999996</v>
      </c>
      <c r="L20" s="22">
        <f t="shared" si="59"/>
        <v>3.2839418159999996</v>
      </c>
      <c r="O20" s="20" t="s">
        <v>57</v>
      </c>
      <c r="P20" s="22">
        <f t="shared" ref="P20:T21" si="60">P6+P11+P16</f>
        <v>9.2150280000000002</v>
      </c>
      <c r="Q20" s="22">
        <f t="shared" si="60"/>
        <v>8.120773800000002</v>
      </c>
      <c r="R20" s="22">
        <f t="shared" si="60"/>
        <v>7.1618577300000004</v>
      </c>
      <c r="S20" s="22">
        <f t="shared" si="60"/>
        <v>6.320859070500001</v>
      </c>
      <c r="T20" s="22">
        <f t="shared" si="60"/>
        <v>5.5826822099250002</v>
      </c>
      <c r="U20" s="22">
        <f t="shared" si="56"/>
        <v>4.9342366784362506</v>
      </c>
      <c r="V20" s="22">
        <f t="shared" si="56"/>
        <v>4.3641622966708136</v>
      </c>
      <c r="W20" s="22">
        <f t="shared" ref="W20:Y20" si="61">W6+W11+W16</f>
        <v>3.8625929601701907</v>
      </c>
      <c r="X20" s="22">
        <f t="shared" si="61"/>
        <v>3.4209535233446622</v>
      </c>
      <c r="Y20" s="22">
        <f t="shared" si="61"/>
        <v>3.0317850513229629</v>
      </c>
    </row>
    <row r="21" spans="2:25" x14ac:dyDescent="0.25">
      <c r="B21" s="8" t="s">
        <v>48</v>
      </c>
      <c r="C21" s="22">
        <f t="shared" si="58"/>
        <v>77.349578183999995</v>
      </c>
      <c r="D21" s="22">
        <f t="shared" si="58"/>
        <v>74.065636368</v>
      </c>
      <c r="E21" s="22">
        <f t="shared" si="58"/>
        <v>70.781694552000005</v>
      </c>
      <c r="F21" s="22">
        <f t="shared" si="58"/>
        <v>67.49775273600001</v>
      </c>
      <c r="G21" s="22">
        <f t="shared" si="58"/>
        <v>64.213810920000014</v>
      </c>
      <c r="H21" s="22">
        <f t="shared" si="54"/>
        <v>60.929869104000019</v>
      </c>
      <c r="I21" s="22">
        <f t="shared" si="54"/>
        <v>57.645927288000024</v>
      </c>
      <c r="J21" s="22">
        <f t="shared" ref="J21:L21" si="62">J7+J12+J17</f>
        <v>54.361985472000029</v>
      </c>
      <c r="K21" s="22">
        <f t="shared" si="62"/>
        <v>51.078043656000027</v>
      </c>
      <c r="L21" s="22">
        <f t="shared" si="62"/>
        <v>47.794101840000032</v>
      </c>
      <c r="O21" s="8" t="s">
        <v>48</v>
      </c>
      <c r="P21" s="22">
        <f t="shared" si="60"/>
        <v>71.418492000000001</v>
      </c>
      <c r="Q21" s="22">
        <f t="shared" si="60"/>
        <v>63.297718200000006</v>
      </c>
      <c r="R21" s="22">
        <f t="shared" si="60"/>
        <v>56.135860470000011</v>
      </c>
      <c r="S21" s="22">
        <f t="shared" si="60"/>
        <v>49.815001399500005</v>
      </c>
      <c r="T21" s="22">
        <f t="shared" si="60"/>
        <v>44.232319189575009</v>
      </c>
      <c r="U21" s="22">
        <f t="shared" si="56"/>
        <v>39.298082511138752</v>
      </c>
      <c r="V21" s="22">
        <f t="shared" si="56"/>
        <v>34.933920214467939</v>
      </c>
      <c r="W21" s="22">
        <f t="shared" ref="W21:Y21" si="63">W7+W12+W17</f>
        <v>31.071327254297746</v>
      </c>
      <c r="X21" s="22">
        <f t="shared" si="63"/>
        <v>27.650373730953085</v>
      </c>
      <c r="Y21" s="22">
        <f t="shared" si="63"/>
        <v>24.618588679630122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60" zoomScaleNormal="100" workbookViewId="0">
      <selection activeCell="B37" sqref="B37:K37"/>
    </sheetView>
  </sheetViews>
  <sheetFormatPr defaultRowHeight="15" x14ac:dyDescent="0.25"/>
  <cols>
    <col min="1" max="1" width="53.140625" style="1" bestFit="1" customWidth="1"/>
    <col min="2" max="7" width="9.140625" style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3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2" t="s">
        <v>505</v>
      </c>
      <c r="J1" s="222" t="s">
        <v>506</v>
      </c>
      <c r="K1" s="222" t="s">
        <v>507</v>
      </c>
    </row>
    <row r="2" spans="1:13" x14ac:dyDescent="0.25">
      <c r="A2" s="28"/>
      <c r="B2" s="29"/>
      <c r="C2" s="29"/>
      <c r="D2" s="29"/>
      <c r="E2" s="29"/>
      <c r="F2" s="29"/>
      <c r="G2" s="29"/>
      <c r="H2" s="29"/>
      <c r="I2" s="220"/>
      <c r="J2" s="220"/>
      <c r="K2" s="220"/>
    </row>
    <row r="3" spans="1:13" x14ac:dyDescent="0.25">
      <c r="A3" s="30" t="s">
        <v>582</v>
      </c>
      <c r="B3" s="27"/>
      <c r="C3" s="27"/>
      <c r="D3" s="27"/>
      <c r="E3" s="27"/>
      <c r="F3" s="27"/>
      <c r="G3" s="27"/>
      <c r="H3" s="27"/>
      <c r="I3" s="220"/>
      <c r="J3" s="220"/>
      <c r="K3" s="220"/>
    </row>
    <row r="4" spans="1:13" x14ac:dyDescent="0.25">
      <c r="A4" s="26" t="s">
        <v>59</v>
      </c>
      <c r="B4" s="292" t="s">
        <v>64</v>
      </c>
      <c r="C4" s="293"/>
      <c r="D4" s="293"/>
      <c r="E4" s="293"/>
      <c r="F4" s="293"/>
      <c r="G4" s="293"/>
      <c r="H4" s="293"/>
      <c r="I4" s="293"/>
      <c r="J4" s="293"/>
      <c r="K4" s="294"/>
    </row>
    <row r="5" spans="1:13" x14ac:dyDescent="0.25">
      <c r="A5" s="26" t="s">
        <v>60</v>
      </c>
      <c r="B5" s="31">
        <f>2*10*300</f>
        <v>6000</v>
      </c>
      <c r="C5" s="31">
        <f t="shared" ref="C5:K5" si="0">2*10*300</f>
        <v>6000</v>
      </c>
      <c r="D5" s="31">
        <f t="shared" si="0"/>
        <v>6000</v>
      </c>
      <c r="E5" s="31">
        <f t="shared" si="0"/>
        <v>6000</v>
      </c>
      <c r="F5" s="31">
        <f t="shared" si="0"/>
        <v>6000</v>
      </c>
      <c r="G5" s="31">
        <f t="shared" si="0"/>
        <v>6000</v>
      </c>
      <c r="H5" s="31">
        <f t="shared" si="0"/>
        <v>6000</v>
      </c>
      <c r="I5" s="31">
        <f t="shared" si="0"/>
        <v>6000</v>
      </c>
      <c r="J5" s="31">
        <f t="shared" si="0"/>
        <v>6000</v>
      </c>
      <c r="K5" s="31">
        <f t="shared" si="0"/>
        <v>6000</v>
      </c>
    </row>
    <row r="6" spans="1:13" x14ac:dyDescent="0.25">
      <c r="A6" s="26" t="s">
        <v>583</v>
      </c>
      <c r="B6" s="31">
        <f>B5*0.5</f>
        <v>3000</v>
      </c>
      <c r="C6" s="31">
        <f t="shared" ref="C6:K6" si="1">C5*0.5</f>
        <v>3000</v>
      </c>
      <c r="D6" s="31">
        <f t="shared" si="1"/>
        <v>3000</v>
      </c>
      <c r="E6" s="31">
        <f t="shared" si="1"/>
        <v>3000</v>
      </c>
      <c r="F6" s="31">
        <f t="shared" si="1"/>
        <v>3000</v>
      </c>
      <c r="G6" s="31">
        <f t="shared" si="1"/>
        <v>3000</v>
      </c>
      <c r="H6" s="31">
        <f t="shared" si="1"/>
        <v>3000</v>
      </c>
      <c r="I6" s="31">
        <f t="shared" si="1"/>
        <v>3000</v>
      </c>
      <c r="J6" s="31">
        <f t="shared" si="1"/>
        <v>3000</v>
      </c>
      <c r="K6" s="31">
        <f t="shared" si="1"/>
        <v>3000</v>
      </c>
    </row>
    <row r="7" spans="1:13" x14ac:dyDescent="0.25">
      <c r="A7" s="26" t="s">
        <v>584</v>
      </c>
      <c r="B7" s="31">
        <f>B5*0.5</f>
        <v>3000</v>
      </c>
      <c r="C7" s="31">
        <f t="shared" ref="C7:K7" si="2">C5*0.5</f>
        <v>3000</v>
      </c>
      <c r="D7" s="31">
        <f t="shared" si="2"/>
        <v>3000</v>
      </c>
      <c r="E7" s="31">
        <f t="shared" si="2"/>
        <v>3000</v>
      </c>
      <c r="F7" s="31">
        <f t="shared" si="2"/>
        <v>3000</v>
      </c>
      <c r="G7" s="31">
        <f t="shared" si="2"/>
        <v>3000</v>
      </c>
      <c r="H7" s="31">
        <f t="shared" si="2"/>
        <v>3000</v>
      </c>
      <c r="I7" s="31">
        <f t="shared" si="2"/>
        <v>3000</v>
      </c>
      <c r="J7" s="31">
        <f t="shared" si="2"/>
        <v>3000</v>
      </c>
      <c r="K7" s="31">
        <f t="shared" si="2"/>
        <v>3000</v>
      </c>
    </row>
    <row r="8" spans="1:13" x14ac:dyDescent="0.25">
      <c r="A8" s="26" t="s">
        <v>164</v>
      </c>
      <c r="B8" s="32">
        <v>0.4</v>
      </c>
      <c r="C8" s="32">
        <v>0.45</v>
      </c>
      <c r="D8" s="32">
        <v>0.5</v>
      </c>
      <c r="E8" s="32">
        <v>0.55000000000000004</v>
      </c>
      <c r="F8" s="32">
        <v>0.6</v>
      </c>
      <c r="G8" s="32">
        <v>0.65</v>
      </c>
      <c r="H8" s="32">
        <v>0.7</v>
      </c>
      <c r="I8" s="241">
        <v>0.75</v>
      </c>
      <c r="J8" s="32">
        <v>0.75</v>
      </c>
      <c r="K8" s="241">
        <f t="shared" ref="K8:K9" si="3">J8+5%</f>
        <v>0.8</v>
      </c>
    </row>
    <row r="9" spans="1:13" x14ac:dyDescent="0.25">
      <c r="A9" s="26" t="s">
        <v>165</v>
      </c>
      <c r="B9" s="32">
        <v>0.4</v>
      </c>
      <c r="C9" s="32">
        <v>0.45</v>
      </c>
      <c r="D9" s="32">
        <v>0.5</v>
      </c>
      <c r="E9" s="32">
        <v>0.55000000000000004</v>
      </c>
      <c r="F9" s="32">
        <v>0.6</v>
      </c>
      <c r="G9" s="32">
        <v>0.65</v>
      </c>
      <c r="H9" s="32">
        <v>0.7</v>
      </c>
      <c r="I9" s="241">
        <v>0.75</v>
      </c>
      <c r="J9" s="32">
        <v>0.75</v>
      </c>
      <c r="K9" s="241">
        <f t="shared" si="3"/>
        <v>0.8</v>
      </c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x14ac:dyDescent="0.25">
      <c r="A11" s="8" t="s">
        <v>166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x14ac:dyDescent="0.25">
      <c r="A12" s="6" t="s">
        <v>624</v>
      </c>
      <c r="B12" s="6">
        <f>B6*B8</f>
        <v>1200</v>
      </c>
      <c r="C12" s="6">
        <f t="shared" ref="C12:K12" si="4">C6*C8</f>
        <v>1350</v>
      </c>
      <c r="D12" s="6">
        <f t="shared" si="4"/>
        <v>1500</v>
      </c>
      <c r="E12" s="6">
        <f t="shared" si="4"/>
        <v>1650.0000000000002</v>
      </c>
      <c r="F12" s="6">
        <f t="shared" si="4"/>
        <v>1800</v>
      </c>
      <c r="G12" s="6">
        <f t="shared" si="4"/>
        <v>1950</v>
      </c>
      <c r="H12" s="6">
        <f t="shared" si="4"/>
        <v>2100</v>
      </c>
      <c r="I12" s="6">
        <f t="shared" si="4"/>
        <v>2250</v>
      </c>
      <c r="J12" s="6">
        <f t="shared" si="4"/>
        <v>2250</v>
      </c>
      <c r="K12" s="6">
        <f t="shared" si="4"/>
        <v>2400</v>
      </c>
    </row>
    <row r="13" spans="1:13" x14ac:dyDescent="0.25">
      <c r="A13" s="33" t="s">
        <v>61</v>
      </c>
      <c r="B13" s="9">
        <v>200</v>
      </c>
      <c r="C13" s="9">
        <f t="shared" ref="C13:H13" si="5">ROUND(B13*1.05,0)</f>
        <v>210</v>
      </c>
      <c r="D13" s="9">
        <f t="shared" si="5"/>
        <v>221</v>
      </c>
      <c r="E13" s="9">
        <f t="shared" si="5"/>
        <v>232</v>
      </c>
      <c r="F13" s="9">
        <f t="shared" si="5"/>
        <v>244</v>
      </c>
      <c r="G13" s="9">
        <f t="shared" si="5"/>
        <v>256</v>
      </c>
      <c r="H13" s="9">
        <f t="shared" si="5"/>
        <v>269</v>
      </c>
      <c r="I13" s="9">
        <f t="shared" ref="I13" si="6">ROUND(H13*1.05,0)</f>
        <v>282</v>
      </c>
      <c r="J13" s="9">
        <f t="shared" ref="J13" si="7">ROUND(I13*1.05,0)</f>
        <v>296</v>
      </c>
      <c r="K13" s="9">
        <f t="shared" ref="K13" si="8">ROUND(J13*1.05,0)</f>
        <v>311</v>
      </c>
      <c r="M13" s="25"/>
    </row>
    <row r="14" spans="1:13" x14ac:dyDescent="0.25">
      <c r="A14" s="34" t="s">
        <v>73</v>
      </c>
      <c r="B14" s="35">
        <f>B12*B13/100000</f>
        <v>2.4</v>
      </c>
      <c r="C14" s="35">
        <f t="shared" ref="C14:K14" si="9">C12*C13/100000</f>
        <v>2.835</v>
      </c>
      <c r="D14" s="35">
        <f t="shared" si="9"/>
        <v>3.3149999999999999</v>
      </c>
      <c r="E14" s="35">
        <f t="shared" si="9"/>
        <v>3.8280000000000007</v>
      </c>
      <c r="F14" s="35">
        <f t="shared" si="9"/>
        <v>4.3920000000000003</v>
      </c>
      <c r="G14" s="35">
        <f t="shared" si="9"/>
        <v>4.992</v>
      </c>
      <c r="H14" s="35">
        <f t="shared" si="9"/>
        <v>5.649</v>
      </c>
      <c r="I14" s="35">
        <f t="shared" si="9"/>
        <v>6.3449999999999998</v>
      </c>
      <c r="J14" s="35">
        <f t="shared" si="9"/>
        <v>6.66</v>
      </c>
      <c r="K14" s="35">
        <f t="shared" si="9"/>
        <v>7.4640000000000004</v>
      </c>
    </row>
    <row r="15" spans="1:13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3" x14ac:dyDescent="0.25">
      <c r="A16" s="34" t="s">
        <v>167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585</v>
      </c>
      <c r="B17" s="6">
        <f>B7*B9</f>
        <v>1200</v>
      </c>
      <c r="C17" s="6">
        <f t="shared" ref="C17:K17" si="10">C7*C9</f>
        <v>1350</v>
      </c>
      <c r="D17" s="6">
        <f t="shared" si="10"/>
        <v>1500</v>
      </c>
      <c r="E17" s="6">
        <f t="shared" si="10"/>
        <v>1650.0000000000002</v>
      </c>
      <c r="F17" s="6">
        <f t="shared" si="10"/>
        <v>1800</v>
      </c>
      <c r="G17" s="6">
        <f t="shared" si="10"/>
        <v>1950</v>
      </c>
      <c r="H17" s="6">
        <f t="shared" si="10"/>
        <v>2100</v>
      </c>
      <c r="I17" s="6">
        <f t="shared" si="10"/>
        <v>2250</v>
      </c>
      <c r="J17" s="6">
        <f t="shared" si="10"/>
        <v>2250</v>
      </c>
      <c r="K17" s="6">
        <f t="shared" si="10"/>
        <v>2400</v>
      </c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x14ac:dyDescent="0.25">
      <c r="A20" s="36" t="s">
        <v>586</v>
      </c>
      <c r="B20" s="37">
        <f>B12*$L$20</f>
        <v>1122</v>
      </c>
      <c r="C20" s="37">
        <f t="shared" ref="C20:H20" si="11">C12*$L$20</f>
        <v>1262.25</v>
      </c>
      <c r="D20" s="37">
        <f t="shared" si="11"/>
        <v>1402.5</v>
      </c>
      <c r="E20" s="37">
        <f t="shared" si="11"/>
        <v>1542.7500000000002</v>
      </c>
      <c r="F20" s="37">
        <f t="shared" si="11"/>
        <v>1683</v>
      </c>
      <c r="G20" s="37">
        <f t="shared" si="11"/>
        <v>1823.25</v>
      </c>
      <c r="H20" s="37">
        <f t="shared" si="11"/>
        <v>1963.5</v>
      </c>
      <c r="I20" s="37">
        <f t="shared" ref="I20:K20" si="12">I12*$L$20</f>
        <v>2103.75</v>
      </c>
      <c r="J20" s="37">
        <f t="shared" si="12"/>
        <v>2103.75</v>
      </c>
      <c r="K20" s="37">
        <f t="shared" si="12"/>
        <v>2244</v>
      </c>
      <c r="L20" s="267">
        <v>0.93500000000000005</v>
      </c>
    </row>
    <row r="21" spans="1:16" x14ac:dyDescent="0.25">
      <c r="A21" s="36" t="s">
        <v>626</v>
      </c>
      <c r="B21" s="37">
        <f>B12*$L$20</f>
        <v>1122</v>
      </c>
      <c r="C21" s="37">
        <f t="shared" ref="C21:K21" si="13">C12*$L$20</f>
        <v>1262.25</v>
      </c>
      <c r="D21" s="37">
        <f t="shared" si="13"/>
        <v>1402.5</v>
      </c>
      <c r="E21" s="37">
        <f t="shared" si="13"/>
        <v>1542.7500000000002</v>
      </c>
      <c r="F21" s="37">
        <f t="shared" si="13"/>
        <v>1683</v>
      </c>
      <c r="G21" s="37">
        <f t="shared" si="13"/>
        <v>1823.25</v>
      </c>
      <c r="H21" s="37">
        <f t="shared" si="13"/>
        <v>1963.5</v>
      </c>
      <c r="I21" s="37">
        <f t="shared" si="13"/>
        <v>2103.75</v>
      </c>
      <c r="J21" s="37">
        <f t="shared" si="13"/>
        <v>2103.75</v>
      </c>
      <c r="K21" s="37">
        <f t="shared" si="13"/>
        <v>2244</v>
      </c>
      <c r="L21" s="267">
        <v>1.4999999999999999E-2</v>
      </c>
    </row>
    <row r="22" spans="1:16" x14ac:dyDescent="0.25">
      <c r="A22" s="36" t="s">
        <v>587</v>
      </c>
      <c r="B22" s="37">
        <f>ROUND(B12*$L$22,0)</f>
        <v>36</v>
      </c>
      <c r="C22" s="37">
        <f t="shared" ref="C22:H22" si="14">ROUND(C12*$L$22,0)</f>
        <v>41</v>
      </c>
      <c r="D22" s="37">
        <f t="shared" si="14"/>
        <v>45</v>
      </c>
      <c r="E22" s="37">
        <f t="shared" si="14"/>
        <v>50</v>
      </c>
      <c r="F22" s="37">
        <f t="shared" si="14"/>
        <v>54</v>
      </c>
      <c r="G22" s="37">
        <f t="shared" si="14"/>
        <v>59</v>
      </c>
      <c r="H22" s="37">
        <f t="shared" si="14"/>
        <v>63</v>
      </c>
      <c r="I22" s="37">
        <f t="shared" ref="I22:K22" si="15">ROUND(I12*$L$22,0)</f>
        <v>68</v>
      </c>
      <c r="J22" s="37">
        <f t="shared" si="15"/>
        <v>68</v>
      </c>
      <c r="K22" s="37">
        <f t="shared" si="15"/>
        <v>72</v>
      </c>
      <c r="L22" s="267">
        <v>0.03</v>
      </c>
    </row>
    <row r="23" spans="1:16" x14ac:dyDescent="0.25">
      <c r="A23" s="36" t="s">
        <v>627</v>
      </c>
      <c r="B23" s="37">
        <f t="shared" ref="B23:K23" si="16">B12*$L$23</f>
        <v>24</v>
      </c>
      <c r="C23" s="37">
        <f t="shared" si="16"/>
        <v>27</v>
      </c>
      <c r="D23" s="37">
        <f t="shared" si="16"/>
        <v>30</v>
      </c>
      <c r="E23" s="37">
        <f t="shared" si="16"/>
        <v>33.000000000000007</v>
      </c>
      <c r="F23" s="37">
        <f t="shared" si="16"/>
        <v>36</v>
      </c>
      <c r="G23" s="37">
        <f t="shared" si="16"/>
        <v>39</v>
      </c>
      <c r="H23" s="37">
        <f t="shared" si="16"/>
        <v>42</v>
      </c>
      <c r="I23" s="37">
        <f t="shared" si="16"/>
        <v>45</v>
      </c>
      <c r="J23" s="37">
        <f t="shared" si="16"/>
        <v>45</v>
      </c>
      <c r="K23" s="37">
        <f t="shared" si="16"/>
        <v>48</v>
      </c>
      <c r="L23" s="267">
        <v>0.02</v>
      </c>
    </row>
    <row r="24" spans="1:16" hidden="1" x14ac:dyDescent="0.25">
      <c r="A24" s="36" t="s">
        <v>63</v>
      </c>
      <c r="B24" s="37">
        <v>0</v>
      </c>
      <c r="C24" s="37">
        <f t="shared" ref="C24:H24" si="17">C12*$L$24</f>
        <v>0</v>
      </c>
      <c r="D24" s="37">
        <f t="shared" si="17"/>
        <v>0</v>
      </c>
      <c r="E24" s="37">
        <f t="shared" si="17"/>
        <v>0</v>
      </c>
      <c r="F24" s="37">
        <f t="shared" si="17"/>
        <v>0</v>
      </c>
      <c r="G24" s="37">
        <f t="shared" si="17"/>
        <v>0</v>
      </c>
      <c r="H24" s="37">
        <f t="shared" si="17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168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tr">
        <f>+A20</f>
        <v>Polished Rice</v>
      </c>
      <c r="B27" s="37">
        <f t="shared" ref="B27:K27" si="18">ROUND(B17*$L$27,0)</f>
        <v>1122</v>
      </c>
      <c r="C27" s="37">
        <f t="shared" si="18"/>
        <v>1262</v>
      </c>
      <c r="D27" s="37">
        <f t="shared" si="18"/>
        <v>1403</v>
      </c>
      <c r="E27" s="37">
        <f t="shared" si="18"/>
        <v>1543</v>
      </c>
      <c r="F27" s="37">
        <f t="shared" si="18"/>
        <v>1683</v>
      </c>
      <c r="G27" s="37">
        <f t="shared" si="18"/>
        <v>1823</v>
      </c>
      <c r="H27" s="37">
        <f t="shared" si="18"/>
        <v>1964</v>
      </c>
      <c r="I27" s="37">
        <f t="shared" si="18"/>
        <v>2104</v>
      </c>
      <c r="J27" s="37">
        <f t="shared" si="18"/>
        <v>2104</v>
      </c>
      <c r="K27" s="37">
        <f t="shared" si="18"/>
        <v>2244</v>
      </c>
      <c r="L27" s="82">
        <v>0.93500000000000005</v>
      </c>
      <c r="M27" s="25">
        <v>50000</v>
      </c>
      <c r="N27" s="25">
        <f>M27*L27</f>
        <v>46750</v>
      </c>
    </row>
    <row r="28" spans="1:16" x14ac:dyDescent="0.25">
      <c r="A28" s="36" t="str">
        <f>+A21</f>
        <v>Raw Jari</v>
      </c>
      <c r="B28" s="37">
        <f t="shared" ref="B28:K28" si="19">ROUND(B17*$L$28,0)</f>
        <v>18</v>
      </c>
      <c r="C28" s="37">
        <f t="shared" si="19"/>
        <v>20</v>
      </c>
      <c r="D28" s="37">
        <f t="shared" si="19"/>
        <v>23</v>
      </c>
      <c r="E28" s="37">
        <f t="shared" si="19"/>
        <v>25</v>
      </c>
      <c r="F28" s="37">
        <f t="shared" si="19"/>
        <v>27</v>
      </c>
      <c r="G28" s="37">
        <f t="shared" si="19"/>
        <v>29</v>
      </c>
      <c r="H28" s="37">
        <f t="shared" si="19"/>
        <v>32</v>
      </c>
      <c r="I28" s="37">
        <f t="shared" si="19"/>
        <v>34</v>
      </c>
      <c r="J28" s="37">
        <f t="shared" si="19"/>
        <v>34</v>
      </c>
      <c r="K28" s="37">
        <f t="shared" si="19"/>
        <v>36</v>
      </c>
      <c r="L28" s="82">
        <v>1.4999999999999999E-2</v>
      </c>
      <c r="M28" s="25">
        <v>14000</v>
      </c>
      <c r="N28" s="25">
        <f t="shared" ref="N28:N30" si="20">M28*L28</f>
        <v>210</v>
      </c>
    </row>
    <row r="29" spans="1:16" x14ac:dyDescent="0.25">
      <c r="A29" s="36" t="str">
        <f>+A22</f>
        <v>Broken</v>
      </c>
      <c r="B29" s="37">
        <f>ROUND(B17*$L$29,0)</f>
        <v>36</v>
      </c>
      <c r="C29" s="37">
        <f t="shared" ref="C29:K29" si="21">ROUND(C17*$L$29,0)</f>
        <v>41</v>
      </c>
      <c r="D29" s="37">
        <f t="shared" si="21"/>
        <v>45</v>
      </c>
      <c r="E29" s="37">
        <f t="shared" si="21"/>
        <v>50</v>
      </c>
      <c r="F29" s="37">
        <f t="shared" si="21"/>
        <v>54</v>
      </c>
      <c r="G29" s="37">
        <f t="shared" si="21"/>
        <v>59</v>
      </c>
      <c r="H29" s="37">
        <f t="shared" si="21"/>
        <v>63</v>
      </c>
      <c r="I29" s="37">
        <f t="shared" si="21"/>
        <v>68</v>
      </c>
      <c r="J29" s="37">
        <f t="shared" si="21"/>
        <v>68</v>
      </c>
      <c r="K29" s="37">
        <f t="shared" si="21"/>
        <v>72</v>
      </c>
      <c r="L29" s="82">
        <v>0.03</v>
      </c>
      <c r="M29" s="25">
        <v>25000</v>
      </c>
      <c r="N29" s="25">
        <f t="shared" si="20"/>
        <v>750</v>
      </c>
    </row>
    <row r="30" spans="1:16" x14ac:dyDescent="0.25">
      <c r="A30" s="36" t="str">
        <f>+A23</f>
        <v>Powder</v>
      </c>
      <c r="B30" s="37">
        <f t="shared" ref="B30:K30" si="22">ROUND(B17*$L$30,0)</f>
        <v>24</v>
      </c>
      <c r="C30" s="37">
        <f t="shared" si="22"/>
        <v>27</v>
      </c>
      <c r="D30" s="37">
        <f t="shared" si="22"/>
        <v>30</v>
      </c>
      <c r="E30" s="37">
        <f t="shared" si="22"/>
        <v>33</v>
      </c>
      <c r="F30" s="37">
        <f t="shared" si="22"/>
        <v>36</v>
      </c>
      <c r="G30" s="37">
        <f t="shared" si="22"/>
        <v>39</v>
      </c>
      <c r="H30" s="37">
        <f t="shared" si="22"/>
        <v>42</v>
      </c>
      <c r="I30" s="37">
        <f t="shared" si="22"/>
        <v>45</v>
      </c>
      <c r="J30" s="37">
        <f t="shared" si="22"/>
        <v>45</v>
      </c>
      <c r="K30" s="37">
        <f t="shared" si="22"/>
        <v>48</v>
      </c>
      <c r="L30" s="82">
        <v>0.02</v>
      </c>
      <c r="M30" s="25">
        <v>12000</v>
      </c>
      <c r="N30" s="25">
        <f t="shared" si="20"/>
        <v>240</v>
      </c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 x14ac:dyDescent="0.25">
      <c r="A32" s="6" t="s">
        <v>588</v>
      </c>
      <c r="B32" s="6">
        <f>2*10</f>
        <v>20</v>
      </c>
      <c r="C32" s="6">
        <f t="shared" ref="C32:K32" si="23">2*10</f>
        <v>20</v>
      </c>
      <c r="D32" s="6">
        <f t="shared" si="23"/>
        <v>20</v>
      </c>
      <c r="E32" s="6">
        <f t="shared" si="23"/>
        <v>20</v>
      </c>
      <c r="F32" s="6">
        <f t="shared" si="23"/>
        <v>20</v>
      </c>
      <c r="G32" s="6">
        <f t="shared" si="23"/>
        <v>20</v>
      </c>
      <c r="H32" s="6">
        <f t="shared" si="23"/>
        <v>20</v>
      </c>
      <c r="I32" s="6">
        <f t="shared" si="23"/>
        <v>20</v>
      </c>
      <c r="J32" s="6">
        <f t="shared" si="23"/>
        <v>20</v>
      </c>
      <c r="K32" s="6">
        <f t="shared" si="23"/>
        <v>20</v>
      </c>
      <c r="N32" s="25">
        <f>SUM(N27:N31)</f>
        <v>47950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36" t="s">
        <v>163</v>
      </c>
      <c r="B34" s="6">
        <f t="shared" ref="B34:K34" si="24">ROUND(B12/B32,0)</f>
        <v>60</v>
      </c>
      <c r="C34" s="6">
        <f t="shared" si="24"/>
        <v>68</v>
      </c>
      <c r="D34" s="6">
        <f t="shared" si="24"/>
        <v>75</v>
      </c>
      <c r="E34" s="6">
        <f t="shared" si="24"/>
        <v>83</v>
      </c>
      <c r="F34" s="6">
        <f t="shared" si="24"/>
        <v>90</v>
      </c>
      <c r="G34" s="6">
        <f t="shared" si="24"/>
        <v>98</v>
      </c>
      <c r="H34" s="6">
        <f t="shared" si="24"/>
        <v>105</v>
      </c>
      <c r="I34" s="6">
        <f t="shared" si="24"/>
        <v>113</v>
      </c>
      <c r="J34" s="6">
        <f t="shared" si="24"/>
        <v>113</v>
      </c>
      <c r="K34" s="6">
        <f t="shared" si="24"/>
        <v>120</v>
      </c>
    </row>
    <row r="35" spans="1:11" x14ac:dyDescent="0.25">
      <c r="A35" s="36" t="s">
        <v>169</v>
      </c>
      <c r="B35" s="6">
        <f t="shared" ref="B35:K35" si="25">ROUND(B17/B32,0)</f>
        <v>60</v>
      </c>
      <c r="C35" s="6">
        <f t="shared" si="25"/>
        <v>68</v>
      </c>
      <c r="D35" s="6">
        <f t="shared" si="25"/>
        <v>75</v>
      </c>
      <c r="E35" s="6">
        <f t="shared" si="25"/>
        <v>83</v>
      </c>
      <c r="F35" s="6">
        <f t="shared" si="25"/>
        <v>90</v>
      </c>
      <c r="G35" s="6">
        <f t="shared" si="25"/>
        <v>98</v>
      </c>
      <c r="H35" s="6">
        <f t="shared" si="25"/>
        <v>105</v>
      </c>
      <c r="I35" s="6">
        <f t="shared" si="25"/>
        <v>113</v>
      </c>
      <c r="J35" s="6">
        <f t="shared" si="25"/>
        <v>113</v>
      </c>
      <c r="K35" s="6">
        <f t="shared" si="25"/>
        <v>120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s="3" customFormat="1" x14ac:dyDescent="0.25">
      <c r="A37" s="8" t="s">
        <v>170</v>
      </c>
      <c r="B37" s="8">
        <f>B34+B35</f>
        <v>120</v>
      </c>
      <c r="C37" s="8">
        <f t="shared" ref="C37:K37" si="26">C34+C35</f>
        <v>136</v>
      </c>
      <c r="D37" s="8">
        <f t="shared" si="26"/>
        <v>150</v>
      </c>
      <c r="E37" s="8">
        <f t="shared" si="26"/>
        <v>166</v>
      </c>
      <c r="F37" s="8">
        <f t="shared" si="26"/>
        <v>180</v>
      </c>
      <c r="G37" s="8">
        <f t="shared" si="26"/>
        <v>196</v>
      </c>
      <c r="H37" s="8">
        <f t="shared" si="26"/>
        <v>210</v>
      </c>
      <c r="I37" s="8">
        <f t="shared" si="26"/>
        <v>226</v>
      </c>
      <c r="J37" s="8">
        <f t="shared" si="26"/>
        <v>226</v>
      </c>
      <c r="K37" s="8">
        <f t="shared" si="26"/>
        <v>240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zoomScale="60" zoomScaleNormal="100" workbookViewId="0">
      <selection activeCell="B11" sqref="B11"/>
    </sheetView>
  </sheetViews>
  <sheetFormatPr defaultRowHeight="15" x14ac:dyDescent="0.25"/>
  <cols>
    <col min="1" max="1" width="54.85546875" style="1" bestFit="1" customWidth="1"/>
    <col min="2" max="3" width="15.42578125" style="1" bestFit="1" customWidth="1"/>
    <col min="4" max="4" width="14.85546875" style="1" bestFit="1" customWidth="1"/>
    <col min="5" max="11" width="15.42578125" style="1" bestFit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2" t="s">
        <v>41</v>
      </c>
      <c r="H2" s="222" t="s">
        <v>42</v>
      </c>
      <c r="I2" s="222" t="s">
        <v>505</v>
      </c>
      <c r="J2" s="222" t="s">
        <v>506</v>
      </c>
      <c r="K2" s="222" t="s">
        <v>507</v>
      </c>
    </row>
    <row r="3" spans="1:11" x14ac:dyDescent="0.25">
      <c r="A3" s="26" t="s">
        <v>65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589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66</v>
      </c>
      <c r="B5" s="36">
        <v>0</v>
      </c>
      <c r="C5" s="36">
        <f>B8</f>
        <v>50</v>
      </c>
      <c r="D5" s="36">
        <f>C8</f>
        <v>56</v>
      </c>
      <c r="E5" s="36">
        <f>D8</f>
        <v>63</v>
      </c>
      <c r="F5" s="36">
        <f>E8</f>
        <v>69</v>
      </c>
      <c r="G5" s="36">
        <f t="shared" ref="G5:H5" si="0">F8</f>
        <v>75</v>
      </c>
      <c r="H5" s="36">
        <f t="shared" si="0"/>
        <v>81</v>
      </c>
      <c r="I5" s="36">
        <f t="shared" ref="I5" si="1">H8</f>
        <v>88</v>
      </c>
      <c r="J5" s="36">
        <f t="shared" ref="J5" si="2">I8</f>
        <v>94</v>
      </c>
      <c r="K5" s="36">
        <f t="shared" ref="K5" si="3">J8</f>
        <v>94</v>
      </c>
    </row>
    <row r="6" spans="1:11" x14ac:dyDescent="0.25">
      <c r="A6" s="36" t="s">
        <v>67</v>
      </c>
      <c r="B6" s="37">
        <f>SUM(B7:B8)-B5</f>
        <v>1250</v>
      </c>
      <c r="C6" s="37">
        <f>SUM(C7:C8)-C5</f>
        <v>1356</v>
      </c>
      <c r="D6" s="37">
        <f t="shared" ref="D6:K6" si="4">SUM(D7:D8)-D5</f>
        <v>1507</v>
      </c>
      <c r="E6" s="37">
        <f t="shared" si="4"/>
        <v>1656.0000000000002</v>
      </c>
      <c r="F6" s="37">
        <f t="shared" si="4"/>
        <v>1806</v>
      </c>
      <c r="G6" s="37">
        <f t="shared" si="4"/>
        <v>1956</v>
      </c>
      <c r="H6" s="37">
        <f t="shared" si="4"/>
        <v>2107</v>
      </c>
      <c r="I6" s="37">
        <f t="shared" si="4"/>
        <v>2256</v>
      </c>
      <c r="J6" s="37">
        <f t="shared" si="4"/>
        <v>2250</v>
      </c>
      <c r="K6" s="37">
        <f t="shared" si="4"/>
        <v>2406</v>
      </c>
    </row>
    <row r="7" spans="1:11" x14ac:dyDescent="0.25">
      <c r="A7" s="36" t="s">
        <v>68</v>
      </c>
      <c r="B7" s="37">
        <f>'Output Schedule'!B17</f>
        <v>1200</v>
      </c>
      <c r="C7" s="37">
        <f>'Output Schedule'!C17</f>
        <v>1350</v>
      </c>
      <c r="D7" s="37">
        <f>'Output Schedule'!D17</f>
        <v>1500</v>
      </c>
      <c r="E7" s="37">
        <f>'Output Schedule'!E17</f>
        <v>1650.0000000000002</v>
      </c>
      <c r="F7" s="37">
        <f>'Output Schedule'!F17</f>
        <v>1800</v>
      </c>
      <c r="G7" s="37">
        <f>'Output Schedule'!G17</f>
        <v>1950</v>
      </c>
      <c r="H7" s="37">
        <f>'Output Schedule'!H17</f>
        <v>2100</v>
      </c>
      <c r="I7" s="37">
        <f>'Output Schedule'!I17</f>
        <v>2250</v>
      </c>
      <c r="J7" s="37">
        <f>'Output Schedule'!J17</f>
        <v>2250</v>
      </c>
      <c r="K7" s="37">
        <f>'Output Schedule'!K17</f>
        <v>2400</v>
      </c>
    </row>
    <row r="8" spans="1:11" x14ac:dyDescent="0.25">
      <c r="A8" s="36" t="s">
        <v>69</v>
      </c>
      <c r="B8" s="36">
        <f>ROUND(B7/24,0)</f>
        <v>50</v>
      </c>
      <c r="C8" s="36">
        <f t="shared" ref="C8:K8" si="5">ROUND(C7/24,0)</f>
        <v>56</v>
      </c>
      <c r="D8" s="36">
        <f t="shared" si="5"/>
        <v>63</v>
      </c>
      <c r="E8" s="36">
        <f t="shared" si="5"/>
        <v>69</v>
      </c>
      <c r="F8" s="36">
        <f t="shared" si="5"/>
        <v>75</v>
      </c>
      <c r="G8" s="36">
        <f t="shared" si="5"/>
        <v>81</v>
      </c>
      <c r="H8" s="36">
        <f t="shared" si="5"/>
        <v>88</v>
      </c>
      <c r="I8" s="36">
        <f t="shared" si="5"/>
        <v>94</v>
      </c>
      <c r="J8" s="36">
        <f t="shared" si="5"/>
        <v>94</v>
      </c>
      <c r="K8" s="36">
        <f t="shared" si="5"/>
        <v>100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464</v>
      </c>
      <c r="B11" s="9">
        <v>45250</v>
      </c>
      <c r="C11" s="45">
        <f>ROUND(B11*1.05,-1)</f>
        <v>47510</v>
      </c>
      <c r="D11" s="45">
        <f t="shared" ref="D11:K11" si="6">ROUND(C11*1.05,-1)</f>
        <v>49890</v>
      </c>
      <c r="E11" s="45">
        <f t="shared" si="6"/>
        <v>52380</v>
      </c>
      <c r="F11" s="45">
        <f t="shared" si="6"/>
        <v>55000</v>
      </c>
      <c r="G11" s="45">
        <f t="shared" si="6"/>
        <v>57750</v>
      </c>
      <c r="H11" s="45">
        <f t="shared" si="6"/>
        <v>60640</v>
      </c>
      <c r="I11" s="45">
        <f t="shared" si="6"/>
        <v>63670</v>
      </c>
      <c r="J11" s="45">
        <f t="shared" si="6"/>
        <v>66850</v>
      </c>
      <c r="K11" s="45">
        <f t="shared" si="6"/>
        <v>70190</v>
      </c>
    </row>
    <row r="12" spans="1:11" s="40" customFormat="1" ht="30" hidden="1" x14ac:dyDescent="0.25">
      <c r="A12" s="187" t="s">
        <v>463</v>
      </c>
      <c r="B12" s="35">
        <f>B11</f>
        <v>45250</v>
      </c>
      <c r="C12" s="35">
        <f t="shared" ref="C12:H12" si="7">C11</f>
        <v>47510</v>
      </c>
      <c r="D12" s="35">
        <f t="shared" si="7"/>
        <v>49890</v>
      </c>
      <c r="E12" s="35">
        <f t="shared" si="7"/>
        <v>52380</v>
      </c>
      <c r="F12" s="35">
        <f t="shared" si="7"/>
        <v>55000</v>
      </c>
      <c r="G12" s="35">
        <f t="shared" si="7"/>
        <v>57750</v>
      </c>
      <c r="H12" s="35">
        <f t="shared" si="7"/>
        <v>60640</v>
      </c>
      <c r="I12" s="35">
        <f t="shared" ref="I12" si="8">I11</f>
        <v>63670</v>
      </c>
      <c r="J12" s="35">
        <f t="shared" ref="J12" si="9">J11</f>
        <v>66850</v>
      </c>
      <c r="K12" s="35">
        <f t="shared" ref="K12" si="10">K11</f>
        <v>70190</v>
      </c>
    </row>
    <row r="13" spans="1:1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6" t="s">
        <v>71</v>
      </c>
      <c r="B15" s="41">
        <v>0</v>
      </c>
      <c r="C15" s="41">
        <f>B16</f>
        <v>22.625</v>
      </c>
      <c r="D15" s="41">
        <f>C16</f>
        <v>26.605599999999999</v>
      </c>
      <c r="E15" s="41">
        <f t="shared" ref="E15:H15" si="11">D16</f>
        <v>31.430700000000002</v>
      </c>
      <c r="F15" s="41">
        <f t="shared" si="11"/>
        <v>36.142200000000003</v>
      </c>
      <c r="G15" s="41">
        <f t="shared" si="11"/>
        <v>41.25</v>
      </c>
      <c r="H15" s="41">
        <f t="shared" si="11"/>
        <v>46.777500000000003</v>
      </c>
      <c r="I15" s="41">
        <f t="shared" ref="I15" si="12">H16</f>
        <v>53.363199999999999</v>
      </c>
      <c r="J15" s="41">
        <f t="shared" ref="J15" si="13">I16</f>
        <v>59.849800000000002</v>
      </c>
      <c r="K15" s="41">
        <f t="shared" ref="K15" si="14">J16</f>
        <v>62.838999999999999</v>
      </c>
    </row>
    <row r="16" spans="1:11" x14ac:dyDescent="0.25">
      <c r="A16" s="26" t="s">
        <v>72</v>
      </c>
      <c r="B16" s="41">
        <f>B12*B8/100000</f>
        <v>22.625</v>
      </c>
      <c r="C16" s="41">
        <f t="shared" ref="C16:H16" si="15">C12*C8/100000</f>
        <v>26.605599999999999</v>
      </c>
      <c r="D16" s="41">
        <f t="shared" si="15"/>
        <v>31.430700000000002</v>
      </c>
      <c r="E16" s="41">
        <f t="shared" si="15"/>
        <v>36.142200000000003</v>
      </c>
      <c r="F16" s="41">
        <f t="shared" si="15"/>
        <v>41.25</v>
      </c>
      <c r="G16" s="41">
        <f t="shared" si="15"/>
        <v>46.777500000000003</v>
      </c>
      <c r="H16" s="41">
        <f t="shared" si="15"/>
        <v>53.363199999999999</v>
      </c>
      <c r="I16" s="41">
        <f t="shared" ref="I16:K16" si="16">I12*I8/100000</f>
        <v>59.849800000000002</v>
      </c>
      <c r="J16" s="41">
        <f t="shared" si="16"/>
        <v>62.838999999999999</v>
      </c>
      <c r="K16" s="41">
        <f t="shared" si="16"/>
        <v>70.19</v>
      </c>
    </row>
    <row r="18" spans="3:8" x14ac:dyDescent="0.25">
      <c r="C18" s="25"/>
      <c r="D18" s="25"/>
      <c r="E18" s="25"/>
      <c r="F18" s="25"/>
      <c r="G18" s="25"/>
      <c r="H18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activeCell="B4" sqref="B4"/>
    </sheetView>
  </sheetViews>
  <sheetFormatPr defaultRowHeight="15" x14ac:dyDescent="0.25"/>
  <cols>
    <col min="1" max="1" width="31.85546875" bestFit="1" customWidth="1"/>
    <col min="2" max="3" width="12.28515625" bestFit="1" customWidth="1"/>
    <col min="4" max="4" width="11.85546875" bestFit="1" customWidth="1"/>
    <col min="5" max="6" width="12.28515625" bestFit="1" customWidth="1"/>
    <col min="7" max="7" width="12.5703125" bestFit="1" customWidth="1"/>
    <col min="8" max="8" width="13" bestFit="1" customWidth="1"/>
    <col min="9" max="10" width="13.42578125" bestFit="1" customWidth="1"/>
    <col min="11" max="11" width="13" bestFit="1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22" t="s">
        <v>42</v>
      </c>
      <c r="I1" s="222" t="s">
        <v>505</v>
      </c>
      <c r="J1" s="222" t="s">
        <v>506</v>
      </c>
      <c r="K1" s="222" t="s">
        <v>507</v>
      </c>
    </row>
    <row r="2" spans="1:11" x14ac:dyDescent="0.25">
      <c r="A2" s="26"/>
      <c r="B2" s="27"/>
      <c r="C2" s="27"/>
      <c r="D2" s="27"/>
      <c r="E2" s="27"/>
      <c r="F2" s="27"/>
      <c r="G2" s="27"/>
      <c r="H2" s="220"/>
      <c r="I2" s="18"/>
      <c r="J2" s="18"/>
      <c r="K2" s="18"/>
    </row>
    <row r="3" spans="1:11" x14ac:dyDescent="0.25">
      <c r="A3" s="36" t="s">
        <v>589</v>
      </c>
      <c r="B3" s="36">
        <f>ROUND('CS-RM'!B6,0)</f>
        <v>1250</v>
      </c>
      <c r="C3" s="36">
        <f>ROUND('CS-RM'!C6,0)</f>
        <v>1356</v>
      </c>
      <c r="D3" s="36">
        <f>ROUND('CS-RM'!D6,0)</f>
        <v>1507</v>
      </c>
      <c r="E3" s="36">
        <f>ROUND('CS-RM'!E6,0)</f>
        <v>1656</v>
      </c>
      <c r="F3" s="36">
        <f>ROUND('CS-RM'!F6,0)</f>
        <v>1806</v>
      </c>
      <c r="G3" s="36">
        <f>ROUND('CS-RM'!G6,0)</f>
        <v>1956</v>
      </c>
      <c r="H3" s="36">
        <f>ROUND('CS-RM'!H6,0)</f>
        <v>2107</v>
      </c>
      <c r="I3" s="36">
        <f>ROUND('CS-RM'!I6,0)</f>
        <v>2256</v>
      </c>
      <c r="J3" s="36">
        <f>ROUND('CS-RM'!J6,0)</f>
        <v>2250</v>
      </c>
      <c r="K3" s="36">
        <f>ROUND('CS-RM'!K6,0)</f>
        <v>2406</v>
      </c>
    </row>
    <row r="4" spans="1:11" x14ac:dyDescent="0.25">
      <c r="A4" s="36" t="s">
        <v>623</v>
      </c>
      <c r="B4" s="280">
        <f>'CS-RM'!B12</f>
        <v>45250</v>
      </c>
      <c r="C4" s="280">
        <f>'CS-RM'!C12</f>
        <v>47510</v>
      </c>
      <c r="D4" s="280">
        <f>'CS-RM'!D12</f>
        <v>49890</v>
      </c>
      <c r="E4" s="280">
        <f>'CS-RM'!E12</f>
        <v>52380</v>
      </c>
      <c r="F4" s="280">
        <f>'CS-RM'!F12</f>
        <v>55000</v>
      </c>
      <c r="G4" s="280">
        <f>'CS-RM'!G12</f>
        <v>57750</v>
      </c>
      <c r="H4" s="280">
        <f>'CS-RM'!H12</f>
        <v>60640</v>
      </c>
      <c r="I4" s="280">
        <f>'CS-RM'!I12</f>
        <v>63670</v>
      </c>
      <c r="J4" s="280">
        <f>'CS-RM'!J12</f>
        <v>66850</v>
      </c>
      <c r="K4" s="280">
        <f>'CS-RM'!K12</f>
        <v>70190</v>
      </c>
    </row>
    <row r="5" spans="1:11" x14ac:dyDescent="0.25">
      <c r="A5" s="36"/>
      <c r="B5" s="42"/>
      <c r="C5" s="42"/>
      <c r="D5" s="42"/>
      <c r="E5" s="42"/>
      <c r="F5" s="42"/>
      <c r="G5" s="18"/>
      <c r="H5" s="18"/>
      <c r="I5" s="18"/>
      <c r="J5" s="18"/>
      <c r="K5" s="18"/>
    </row>
    <row r="6" spans="1:11" x14ac:dyDescent="0.25">
      <c r="A6" s="26" t="s">
        <v>76</v>
      </c>
      <c r="B6" s="41">
        <f>B3*B4/100000</f>
        <v>565.625</v>
      </c>
      <c r="C6" s="41">
        <f t="shared" ref="C6:K6" si="0">C3*C4/100000</f>
        <v>644.23559999999998</v>
      </c>
      <c r="D6" s="41">
        <f t="shared" si="0"/>
        <v>751.84230000000002</v>
      </c>
      <c r="E6" s="41">
        <f t="shared" si="0"/>
        <v>867.41279999999995</v>
      </c>
      <c r="F6" s="41">
        <f t="shared" si="0"/>
        <v>993.3</v>
      </c>
      <c r="G6" s="41">
        <f t="shared" si="0"/>
        <v>1129.5899999999999</v>
      </c>
      <c r="H6" s="41">
        <f t="shared" si="0"/>
        <v>1277.6848</v>
      </c>
      <c r="I6" s="41">
        <f t="shared" si="0"/>
        <v>1436.3951999999999</v>
      </c>
      <c r="J6" s="41">
        <f t="shared" si="0"/>
        <v>1504.125</v>
      </c>
      <c r="K6" s="41">
        <f t="shared" si="0"/>
        <v>1688.7714000000001</v>
      </c>
    </row>
    <row r="8" spans="1:11" hidden="1" x14ac:dyDescent="0.25">
      <c r="B8" s="24">
        <f>B3*'CS-RM'!B11/100000</f>
        <v>565.625</v>
      </c>
      <c r="C8" s="24">
        <f>C3*'CS-RM'!C11/100000</f>
        <v>644.23559999999998</v>
      </c>
      <c r="D8" s="24">
        <f>D3*'CS-RM'!D11/100000</f>
        <v>751.84230000000002</v>
      </c>
      <c r="E8" s="24">
        <f>E3*'CS-RM'!E11/100000</f>
        <v>867.41279999999995</v>
      </c>
      <c r="F8" s="24">
        <f>F3*'CS-RM'!F11/100000</f>
        <v>993.3</v>
      </c>
      <c r="G8" s="24">
        <f>G3*'CS-RM'!G11/100000</f>
        <v>1129.5899999999999</v>
      </c>
      <c r="H8" s="24">
        <f>H3*'CS-RM'!H11/100000</f>
        <v>1277.6848</v>
      </c>
    </row>
    <row r="9" spans="1:11" hidden="1" x14ac:dyDescent="0.25"/>
    <row r="10" spans="1:11" hidden="1" x14ac:dyDescent="0.25">
      <c r="B10" s="24">
        <f>B8-B6</f>
        <v>0</v>
      </c>
      <c r="C10" s="24">
        <f t="shared" ref="C10:H10" si="1">C8-C6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</row>
    <row r="11" spans="1:11" hidden="1" x14ac:dyDescent="0.25"/>
    <row r="12" spans="1:11" hidden="1" x14ac:dyDescent="0.25">
      <c r="B12" s="24">
        <f>'Production Level Support'!B3</f>
        <v>0</v>
      </c>
      <c r="C12" s="24">
        <f>'Production Level Support'!C3</f>
        <v>0</v>
      </c>
      <c r="D12" s="24">
        <f>'Production Level Support'!D3</f>
        <v>0</v>
      </c>
      <c r="E12" s="24">
        <f>'Production Level Support'!E3</f>
        <v>0</v>
      </c>
      <c r="F12" s="24">
        <f>'Production Level Support'!F3</f>
        <v>0</v>
      </c>
      <c r="G12" s="24">
        <f>'Production Level Support'!G3</f>
        <v>0</v>
      </c>
      <c r="H12" s="24">
        <f>'Production Level Support'!H3</f>
        <v>0</v>
      </c>
    </row>
    <row r="13" spans="1:11" hidden="1" x14ac:dyDescent="0.25"/>
    <row r="14" spans="1:11" hidden="1" x14ac:dyDescent="0.25">
      <c r="B14" s="24">
        <f>B10-B12</f>
        <v>0</v>
      </c>
      <c r="C14" s="24">
        <f t="shared" ref="C14:H14" si="2">C10-C12</f>
        <v>0</v>
      </c>
      <c r="D14" s="24">
        <f t="shared" si="2"/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</row>
    <row r="15" spans="1:11" hidden="1" x14ac:dyDescent="0.25"/>
    <row r="17" spans="2:2" x14ac:dyDescent="0.25">
      <c r="B17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60" zoomScaleNormal="100" workbookViewId="0">
      <selection activeCell="C3" sqref="C3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6" width="12.28515625" style="1" bestFit="1" customWidth="1"/>
    <col min="7" max="7" width="13.42578125" style="1" bestFit="1" customWidth="1"/>
    <col min="8" max="8" width="12.5703125" style="1" bestFit="1" customWidth="1"/>
    <col min="9" max="12" width="13.42578125" style="1" bestFit="1" customWidth="1"/>
    <col min="13" max="16384" width="9.140625" style="1"/>
  </cols>
  <sheetData>
    <row r="1" spans="1:12" x14ac:dyDescent="0.25">
      <c r="A1" s="46" t="s">
        <v>77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22" t="s">
        <v>42</v>
      </c>
      <c r="J1" s="222" t="s">
        <v>505</v>
      </c>
      <c r="K1" s="222" t="s">
        <v>506</v>
      </c>
      <c r="L1" s="222" t="s">
        <v>507</v>
      </c>
    </row>
    <row r="2" spans="1:12" x14ac:dyDescent="0.25">
      <c r="A2" s="7" t="s">
        <v>79</v>
      </c>
      <c r="B2" s="26" t="str">
        <f>'CS-FG'!B4</f>
        <v>Polished Rice</v>
      </c>
      <c r="C2" s="36">
        <f>'CS-FG'!C7</f>
        <v>1075</v>
      </c>
      <c r="D2" s="36">
        <f>'CS-FG'!D7</f>
        <v>1256</v>
      </c>
      <c r="E2" s="36">
        <f>'CS-FG'!E7</f>
        <v>1398</v>
      </c>
      <c r="F2" s="36">
        <f>'CS-FG'!F7</f>
        <v>1537</v>
      </c>
      <c r="G2" s="36">
        <f>'CS-FG'!G7</f>
        <v>1677</v>
      </c>
      <c r="H2" s="36">
        <f>'CS-FG'!H7</f>
        <v>1817</v>
      </c>
      <c r="I2" s="36">
        <f>'CS-FG'!I7</f>
        <v>1958</v>
      </c>
      <c r="J2" s="36">
        <f>'CS-FG'!J7</f>
        <v>2098</v>
      </c>
      <c r="K2" s="36">
        <f>'CS-FG'!K7</f>
        <v>2104</v>
      </c>
      <c r="L2" s="36">
        <f>'CS-FG'!L7</f>
        <v>2238</v>
      </c>
    </row>
    <row r="3" spans="1:12" x14ac:dyDescent="0.25">
      <c r="A3" s="6"/>
      <c r="B3" s="36" t="s">
        <v>75</v>
      </c>
      <c r="C3" s="42">
        <f>'CS-FG'!C29</f>
        <v>50000</v>
      </c>
      <c r="D3" s="42">
        <f>'CS-FG'!D29</f>
        <v>52500</v>
      </c>
      <c r="E3" s="42">
        <f>'CS-FG'!E29</f>
        <v>55130</v>
      </c>
      <c r="F3" s="42">
        <f>'CS-FG'!F29</f>
        <v>57890</v>
      </c>
      <c r="G3" s="42">
        <f>'CS-FG'!G29</f>
        <v>60780</v>
      </c>
      <c r="H3" s="42">
        <f>'CS-FG'!H29</f>
        <v>63820</v>
      </c>
      <c r="I3" s="42">
        <f>'CS-FG'!I29</f>
        <v>67010</v>
      </c>
      <c r="J3" s="42">
        <f>'CS-FG'!J29</f>
        <v>70360</v>
      </c>
      <c r="K3" s="42">
        <f>'CS-FG'!K29</f>
        <v>73880</v>
      </c>
      <c r="L3" s="42">
        <f>'CS-FG'!L29</f>
        <v>77570</v>
      </c>
    </row>
    <row r="4" spans="1:12" x14ac:dyDescent="0.25">
      <c r="A4" s="6"/>
      <c r="B4" s="26" t="s">
        <v>88</v>
      </c>
      <c r="C4" s="41">
        <f>C2*C3/100000</f>
        <v>537.5</v>
      </c>
      <c r="D4" s="41">
        <f t="shared" ref="D4:I4" si="0">D2*D3/100000</f>
        <v>659.4</v>
      </c>
      <c r="E4" s="41">
        <f t="shared" si="0"/>
        <v>770.7174</v>
      </c>
      <c r="F4" s="41">
        <f t="shared" si="0"/>
        <v>889.76930000000004</v>
      </c>
      <c r="G4" s="41">
        <f t="shared" si="0"/>
        <v>1019.2806</v>
      </c>
      <c r="H4" s="41">
        <f t="shared" si="0"/>
        <v>1159.6094000000001</v>
      </c>
      <c r="I4" s="41">
        <f t="shared" si="0"/>
        <v>1312.0558000000001</v>
      </c>
      <c r="J4" s="41">
        <f t="shared" ref="J4:L4" si="1">J2*J3/100000</f>
        <v>1476.1528000000001</v>
      </c>
      <c r="K4" s="41">
        <f t="shared" si="1"/>
        <v>1554.4351999999999</v>
      </c>
      <c r="L4" s="41">
        <f t="shared" si="1"/>
        <v>1736.0165999999999</v>
      </c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84</v>
      </c>
      <c r="B6" s="26" t="str">
        <f>'CS-FG'!B10</f>
        <v>Raw Jari</v>
      </c>
      <c r="C6" s="36">
        <f>'CS-FG'!C13</f>
        <v>17</v>
      </c>
      <c r="D6" s="36">
        <f>'CS-FG'!D13</f>
        <v>20</v>
      </c>
      <c r="E6" s="36">
        <f>'CS-FG'!E13</f>
        <v>23</v>
      </c>
      <c r="F6" s="36">
        <f>'CS-FG'!F13</f>
        <v>25</v>
      </c>
      <c r="G6" s="36">
        <f>'CS-FG'!G13</f>
        <v>27</v>
      </c>
      <c r="H6" s="36">
        <f>'CS-FG'!H13</f>
        <v>29</v>
      </c>
      <c r="I6" s="36">
        <f>'CS-FG'!I13</f>
        <v>32</v>
      </c>
      <c r="J6" s="36">
        <f>'CS-FG'!J13</f>
        <v>34</v>
      </c>
      <c r="K6" s="36">
        <f>'CS-FG'!K13</f>
        <v>34</v>
      </c>
      <c r="L6" s="36">
        <f>'CS-FG'!L13</f>
        <v>35</v>
      </c>
    </row>
    <row r="7" spans="1:12" x14ac:dyDescent="0.25">
      <c r="A7" s="6"/>
      <c r="B7" s="36" t="s">
        <v>75</v>
      </c>
      <c r="C7" s="42">
        <f>'CS-FG'!C30</f>
        <v>14000</v>
      </c>
      <c r="D7" s="42">
        <f>'CS-FG'!D30</f>
        <v>14700</v>
      </c>
      <c r="E7" s="42">
        <f>'CS-FG'!E30</f>
        <v>15440</v>
      </c>
      <c r="F7" s="42">
        <f>'CS-FG'!F30</f>
        <v>16210</v>
      </c>
      <c r="G7" s="42">
        <f>'CS-FG'!G30</f>
        <v>17020</v>
      </c>
      <c r="H7" s="42">
        <f>'CS-FG'!H30</f>
        <v>17870</v>
      </c>
      <c r="I7" s="42">
        <f>'CS-FG'!I30</f>
        <v>18760</v>
      </c>
      <c r="J7" s="42">
        <f>'CS-FG'!J30</f>
        <v>19700</v>
      </c>
      <c r="K7" s="42">
        <f>'CS-FG'!K30</f>
        <v>20690</v>
      </c>
      <c r="L7" s="42">
        <f>'CS-FG'!L30</f>
        <v>21720</v>
      </c>
    </row>
    <row r="8" spans="1:12" x14ac:dyDescent="0.25">
      <c r="A8" s="6"/>
      <c r="B8" s="26" t="s">
        <v>88</v>
      </c>
      <c r="C8" s="41">
        <f>C6*C7/100000</f>
        <v>2.38</v>
      </c>
      <c r="D8" s="41">
        <f t="shared" ref="D8:I8" si="2">D6*D7/100000</f>
        <v>2.94</v>
      </c>
      <c r="E8" s="41">
        <f t="shared" si="2"/>
        <v>3.5512000000000001</v>
      </c>
      <c r="F8" s="41">
        <f t="shared" si="2"/>
        <v>4.0525000000000002</v>
      </c>
      <c r="G8" s="41">
        <f t="shared" si="2"/>
        <v>4.5953999999999997</v>
      </c>
      <c r="H8" s="41">
        <f t="shared" si="2"/>
        <v>5.1822999999999997</v>
      </c>
      <c r="I8" s="41">
        <f t="shared" si="2"/>
        <v>6.0031999999999996</v>
      </c>
      <c r="J8" s="41">
        <f t="shared" ref="J8:L8" si="3">J6*J7/100000</f>
        <v>6.6980000000000004</v>
      </c>
      <c r="K8" s="41">
        <f t="shared" si="3"/>
        <v>7.0346000000000002</v>
      </c>
      <c r="L8" s="41">
        <f t="shared" si="3"/>
        <v>7.6020000000000003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 t="s">
        <v>85</v>
      </c>
      <c r="B10" s="26" t="str">
        <f>'CS-FG'!B16</f>
        <v>Broken</v>
      </c>
      <c r="C10" s="36">
        <f>'CS-FG'!C19</f>
        <v>34</v>
      </c>
      <c r="D10" s="36">
        <f>'CS-FG'!D19</f>
        <v>28</v>
      </c>
      <c r="E10" s="36">
        <f>'CS-FG'!E19</f>
        <v>30</v>
      </c>
      <c r="F10" s="36">
        <f>'CS-FG'!F19</f>
        <v>33</v>
      </c>
      <c r="G10" s="36">
        <f>'CS-FG'!G19</f>
        <v>35</v>
      </c>
      <c r="H10" s="36">
        <f>'CS-FG'!H19</f>
        <v>39</v>
      </c>
      <c r="I10" s="36">
        <f>'CS-FG'!I19</f>
        <v>42</v>
      </c>
      <c r="J10" s="36">
        <f>'CS-FG'!J19</f>
        <v>45</v>
      </c>
      <c r="K10" s="36">
        <f>'CS-FG'!K19</f>
        <v>45</v>
      </c>
      <c r="L10" s="36">
        <f>'CS-FG'!L19</f>
        <v>48</v>
      </c>
    </row>
    <row r="11" spans="1:12" x14ac:dyDescent="0.25">
      <c r="A11" s="6"/>
      <c r="B11" s="36" t="s">
        <v>75</v>
      </c>
      <c r="C11" s="42">
        <f>'CS-FG'!C31</f>
        <v>25000</v>
      </c>
      <c r="D11" s="42">
        <f>'CS-FG'!D31</f>
        <v>26250</v>
      </c>
      <c r="E11" s="42">
        <f>'CS-FG'!E31</f>
        <v>27560</v>
      </c>
      <c r="F11" s="42">
        <f>'CS-FG'!F31</f>
        <v>28940</v>
      </c>
      <c r="G11" s="42">
        <f>'CS-FG'!G31</f>
        <v>30390</v>
      </c>
      <c r="H11" s="42">
        <f>'CS-FG'!H31</f>
        <v>31910</v>
      </c>
      <c r="I11" s="42">
        <f>'CS-FG'!I31</f>
        <v>33510</v>
      </c>
      <c r="J11" s="42">
        <f>'CS-FG'!J31</f>
        <v>35190</v>
      </c>
      <c r="K11" s="42">
        <f>'CS-FG'!K31</f>
        <v>36950</v>
      </c>
      <c r="L11" s="42">
        <f>'CS-FG'!L31</f>
        <v>38800</v>
      </c>
    </row>
    <row r="12" spans="1:12" x14ac:dyDescent="0.25">
      <c r="A12" s="6"/>
      <c r="B12" s="26" t="s">
        <v>88</v>
      </c>
      <c r="C12" s="41">
        <f>C10*C11/100000</f>
        <v>8.5</v>
      </c>
      <c r="D12" s="41">
        <f t="shared" ref="D12:I12" si="4">D10*D11/100000</f>
        <v>7.35</v>
      </c>
      <c r="E12" s="41">
        <f t="shared" si="4"/>
        <v>8.2680000000000007</v>
      </c>
      <c r="F12" s="41">
        <f t="shared" si="4"/>
        <v>9.5502000000000002</v>
      </c>
      <c r="G12" s="41">
        <f t="shared" si="4"/>
        <v>10.6365</v>
      </c>
      <c r="H12" s="41">
        <f t="shared" si="4"/>
        <v>12.444900000000001</v>
      </c>
      <c r="I12" s="41">
        <f t="shared" si="4"/>
        <v>14.074199999999999</v>
      </c>
      <c r="J12" s="41">
        <f t="shared" ref="J12:L12" si="5">J10*J11/100000</f>
        <v>15.8355</v>
      </c>
      <c r="K12" s="41">
        <f t="shared" si="5"/>
        <v>16.627500000000001</v>
      </c>
      <c r="L12" s="41">
        <f t="shared" si="5"/>
        <v>18.623999999999999</v>
      </c>
    </row>
    <row r="13" spans="1:12" x14ac:dyDescent="0.25">
      <c r="A13" s="6"/>
      <c r="B13" s="26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x14ac:dyDescent="0.25">
      <c r="A14" s="264" t="s">
        <v>85</v>
      </c>
      <c r="B14" s="26" t="str">
        <f>'CS-FG'!B22</f>
        <v>Powder</v>
      </c>
      <c r="C14" s="36">
        <f>'CS-FG'!C25</f>
        <v>23</v>
      </c>
      <c r="D14" s="36">
        <f>'CS-FG'!D25</f>
        <v>27</v>
      </c>
      <c r="E14" s="36">
        <f>'CS-FG'!E25</f>
        <v>30</v>
      </c>
      <c r="F14" s="36">
        <f>'CS-FG'!F25</f>
        <v>33</v>
      </c>
      <c r="G14" s="36">
        <f>'CS-FG'!G25</f>
        <v>35</v>
      </c>
      <c r="H14" s="36">
        <f>'CS-FG'!H25</f>
        <v>39</v>
      </c>
      <c r="I14" s="36">
        <f>'CS-FG'!I25</f>
        <v>42</v>
      </c>
      <c r="J14" s="36">
        <f>'CS-FG'!J25</f>
        <v>45</v>
      </c>
      <c r="K14" s="36">
        <f>'CS-FG'!K25</f>
        <v>45</v>
      </c>
      <c r="L14" s="36">
        <f>'CS-FG'!L25</f>
        <v>48</v>
      </c>
    </row>
    <row r="15" spans="1:12" x14ac:dyDescent="0.25">
      <c r="A15" s="6"/>
      <c r="B15" s="36" t="s">
        <v>75</v>
      </c>
      <c r="C15" s="42">
        <f>'CS-FG'!C32</f>
        <v>12000</v>
      </c>
      <c r="D15" s="42">
        <f>'CS-FG'!D32</f>
        <v>12600</v>
      </c>
      <c r="E15" s="42">
        <f>'CS-FG'!E32</f>
        <v>13230</v>
      </c>
      <c r="F15" s="42">
        <f>'CS-FG'!F32</f>
        <v>13890</v>
      </c>
      <c r="G15" s="42">
        <f>'CS-FG'!G32</f>
        <v>14580</v>
      </c>
      <c r="H15" s="42">
        <f>'CS-FG'!H32</f>
        <v>15310</v>
      </c>
      <c r="I15" s="42">
        <f>'CS-FG'!I32</f>
        <v>16080</v>
      </c>
      <c r="J15" s="42">
        <f>'CS-FG'!J32</f>
        <v>16880</v>
      </c>
      <c r="K15" s="42">
        <f>'CS-FG'!K32</f>
        <v>17720</v>
      </c>
      <c r="L15" s="42">
        <f>'CS-FG'!L32</f>
        <v>18610</v>
      </c>
    </row>
    <row r="16" spans="1:12" x14ac:dyDescent="0.25">
      <c r="A16" s="6"/>
      <c r="B16" s="26" t="s">
        <v>88</v>
      </c>
      <c r="C16" s="41">
        <f>C14*C15/100000</f>
        <v>2.76</v>
      </c>
      <c r="D16" s="41">
        <f t="shared" ref="D16:L16" si="6">D14*D15/100000</f>
        <v>3.4020000000000001</v>
      </c>
      <c r="E16" s="41">
        <f t="shared" si="6"/>
        <v>3.9689999999999999</v>
      </c>
      <c r="F16" s="41">
        <f t="shared" si="6"/>
        <v>4.5837000000000003</v>
      </c>
      <c r="G16" s="41">
        <f t="shared" si="6"/>
        <v>5.1029999999999998</v>
      </c>
      <c r="H16" s="41">
        <f t="shared" si="6"/>
        <v>5.9709000000000003</v>
      </c>
      <c r="I16" s="41">
        <f t="shared" si="6"/>
        <v>6.7535999999999996</v>
      </c>
      <c r="J16" s="41">
        <f t="shared" si="6"/>
        <v>7.5960000000000001</v>
      </c>
      <c r="K16" s="41">
        <f t="shared" si="6"/>
        <v>7.9740000000000002</v>
      </c>
      <c r="L16" s="41">
        <f t="shared" si="6"/>
        <v>8.9328000000000003</v>
      </c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8" t="s">
        <v>89</v>
      </c>
      <c r="C18" s="11">
        <f>C12+C8+C4+C16</f>
        <v>551.14</v>
      </c>
      <c r="D18" s="11">
        <f t="shared" ref="D18:L18" si="7">D12+D8+D4+D16</f>
        <v>673.09199999999998</v>
      </c>
      <c r="E18" s="11">
        <f t="shared" si="7"/>
        <v>786.50560000000007</v>
      </c>
      <c r="F18" s="11">
        <f t="shared" si="7"/>
        <v>907.95570000000009</v>
      </c>
      <c r="G18" s="11">
        <f t="shared" si="7"/>
        <v>1039.6155000000001</v>
      </c>
      <c r="H18" s="11">
        <f t="shared" si="7"/>
        <v>1183.2075</v>
      </c>
      <c r="I18" s="11">
        <f t="shared" si="7"/>
        <v>1338.8868</v>
      </c>
      <c r="J18" s="11">
        <f t="shared" si="7"/>
        <v>1506.2823000000001</v>
      </c>
      <c r="K18" s="11">
        <f t="shared" si="7"/>
        <v>1586.0712999999998</v>
      </c>
      <c r="L18" s="11">
        <f t="shared" si="7"/>
        <v>1771.1754000000001</v>
      </c>
    </row>
  </sheetData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5</vt:i4>
      </vt:variant>
    </vt:vector>
  </HeadingPairs>
  <TitlesOfParts>
    <vt:vector size="43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Sales Schedule</vt:lpstr>
      <vt:lpstr>CS-FG</vt:lpstr>
      <vt:lpstr>Farm Implement Business</vt:lpstr>
      <vt:lpstr>Production Level Support</vt:lpstr>
      <vt:lpstr>Manpower Schedule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NPV</vt:lpstr>
      <vt:lpstr>IRR</vt:lpstr>
      <vt:lpstr>ROCE and Payback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cw</cp:lastModifiedBy>
  <dcterms:created xsi:type="dcterms:W3CDTF">2020-07-01T05:43:42Z</dcterms:created>
  <dcterms:modified xsi:type="dcterms:W3CDTF">2023-06-08T10:07:33Z</dcterms:modified>
</cp:coreProperties>
</file>